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eopl\OneDrive\Desktop\((( TODAY)))\Monthly Budget\"/>
    </mc:Choice>
  </mc:AlternateContent>
  <xr:revisionPtr revIDLastSave="0" documentId="13_ncr:1_{F510555A-4931-4246-BDA2-BEAF86B869D2}" xr6:coauthVersionLast="47" xr6:coauthVersionMax="47" xr10:uidLastSave="{00000000-0000-0000-0000-000000000000}"/>
  <bookViews>
    <workbookView xWindow="-108" yWindow="-108" windowWidth="23256" windowHeight="13176" activeTab="2" xr2:uid="{00000000-000D-0000-FFFF-FFFF00000000}"/>
  </bookViews>
  <sheets>
    <sheet name="Statement of Financial Position" sheetId="1" r:id="rId1"/>
    <sheet name="Budget VS Actual" sheetId="2" r:id="rId2"/>
    <sheet name="Budget vs Actual YTD" sheetId="7" r:id="rId3"/>
    <sheet name="Statement  of Activity" sheetId="3" r:id="rId4"/>
    <sheet name="Statement of Activity by Class" sheetId="4" r:id="rId5"/>
    <sheet name="Statement of Cashflows" sheetId="5" r:id="rId6"/>
    <sheet name="Transactions List By Date" sheetId="6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A62" i="7" l="1"/>
  <c r="AB62" i="7" s="1"/>
  <c r="Z62" i="7"/>
  <c r="X62" i="7"/>
  <c r="Y62" i="7" s="1"/>
  <c r="W62" i="7"/>
  <c r="U62" i="7"/>
  <c r="V62" i="7" s="1"/>
  <c r="T62" i="7"/>
  <c r="R62" i="7"/>
  <c r="S62" i="7" s="1"/>
  <c r="Q62" i="7"/>
  <c r="O62" i="7"/>
  <c r="P62" i="7" s="1"/>
  <c r="N62" i="7"/>
  <c r="L62" i="7"/>
  <c r="M62" i="7" s="1"/>
  <c r="K62" i="7"/>
  <c r="J62" i="7"/>
  <c r="I62" i="7"/>
  <c r="H62" i="7"/>
  <c r="F62" i="7"/>
  <c r="E62" i="7"/>
  <c r="G62" i="7" s="1"/>
  <c r="B62" i="7"/>
  <c r="AC62" i="7" s="1"/>
  <c r="AB61" i="7"/>
  <c r="Y61" i="7"/>
  <c r="V61" i="7"/>
  <c r="S61" i="7"/>
  <c r="P61" i="7"/>
  <c r="M61" i="7"/>
  <c r="J61" i="7"/>
  <c r="G61" i="7"/>
  <c r="C61" i="7"/>
  <c r="AD61" i="7" s="1"/>
  <c r="AE61" i="7" s="1"/>
  <c r="B61" i="7"/>
  <c r="AC61" i="7" s="1"/>
  <c r="AD60" i="7"/>
  <c r="AE60" i="7" s="1"/>
  <c r="AC60" i="7"/>
  <c r="AB60" i="7"/>
  <c r="Y60" i="7"/>
  <c r="V60" i="7"/>
  <c r="S60" i="7"/>
  <c r="P60" i="7"/>
  <c r="M60" i="7"/>
  <c r="J60" i="7"/>
  <c r="G60" i="7"/>
  <c r="D60" i="7"/>
  <c r="Z59" i="7"/>
  <c r="R59" i="7"/>
  <c r="AA58" i="7"/>
  <c r="AB58" i="7" s="1"/>
  <c r="Z58" i="7"/>
  <c r="X58" i="7"/>
  <c r="Y58" i="7" s="1"/>
  <c r="W58" i="7"/>
  <c r="R58" i="7"/>
  <c r="S58" i="7" s="1"/>
  <c r="Q58" i="7"/>
  <c r="P58" i="7"/>
  <c r="O58" i="7"/>
  <c r="N58" i="7"/>
  <c r="L58" i="7"/>
  <c r="M58" i="7" s="1"/>
  <c r="K58" i="7"/>
  <c r="I58" i="7"/>
  <c r="H58" i="7"/>
  <c r="J58" i="7" s="1"/>
  <c r="F58" i="7"/>
  <c r="G58" i="7" s="1"/>
  <c r="E58" i="7"/>
  <c r="C58" i="7"/>
  <c r="B58" i="7"/>
  <c r="AD57" i="7"/>
  <c r="AB57" i="7"/>
  <c r="Y57" i="7"/>
  <c r="U57" i="7"/>
  <c r="V57" i="7" s="1"/>
  <c r="T57" i="7"/>
  <c r="AC57" i="7" s="1"/>
  <c r="S57" i="7"/>
  <c r="P57" i="7"/>
  <c r="M57" i="7"/>
  <c r="J57" i="7"/>
  <c r="G57" i="7"/>
  <c r="D57" i="7"/>
  <c r="AD56" i="7"/>
  <c r="AE56" i="7" s="1"/>
  <c r="AC56" i="7"/>
  <c r="AB56" i="7"/>
  <c r="Y56" i="7"/>
  <c r="U56" i="7"/>
  <c r="V56" i="7" s="1"/>
  <c r="T56" i="7"/>
  <c r="T58" i="7" s="1"/>
  <c r="S56" i="7"/>
  <c r="P56" i="7"/>
  <c r="M56" i="7"/>
  <c r="J56" i="7"/>
  <c r="G56" i="7"/>
  <c r="D56" i="7"/>
  <c r="AD55" i="7"/>
  <c r="AE55" i="7" s="1"/>
  <c r="AC55" i="7"/>
  <c r="AB55" i="7"/>
  <c r="Y55" i="7"/>
  <c r="V55" i="7"/>
  <c r="S55" i="7"/>
  <c r="P55" i="7"/>
  <c r="M55" i="7"/>
  <c r="J55" i="7"/>
  <c r="G55" i="7"/>
  <c r="D55" i="7"/>
  <c r="AD54" i="7"/>
  <c r="AE54" i="7" s="1"/>
  <c r="AB54" i="7"/>
  <c r="Y54" i="7"/>
  <c r="U54" i="7"/>
  <c r="V54" i="7" s="1"/>
  <c r="T54" i="7"/>
  <c r="AC54" i="7" s="1"/>
  <c r="S54" i="7"/>
  <c r="P54" i="7"/>
  <c r="M54" i="7"/>
  <c r="J54" i="7"/>
  <c r="G54" i="7"/>
  <c r="D54" i="7"/>
  <c r="AD53" i="7"/>
  <c r="AE53" i="7" s="1"/>
  <c r="AC53" i="7"/>
  <c r="AB53" i="7"/>
  <c r="Y53" i="7"/>
  <c r="U53" i="7"/>
  <c r="V53" i="7" s="1"/>
  <c r="S53" i="7"/>
  <c r="P53" i="7"/>
  <c r="M53" i="7"/>
  <c r="J53" i="7"/>
  <c r="G53" i="7"/>
  <c r="D53" i="7"/>
  <c r="AC52" i="7"/>
  <c r="AB52" i="7"/>
  <c r="Y52" i="7"/>
  <c r="V52" i="7"/>
  <c r="S52" i="7"/>
  <c r="P52" i="7"/>
  <c r="M52" i="7"/>
  <c r="J52" i="7"/>
  <c r="G52" i="7"/>
  <c r="C52" i="7"/>
  <c r="AD52" i="7" s="1"/>
  <c r="AE52" i="7" s="1"/>
  <c r="AA51" i="7"/>
  <c r="AB51" i="7" s="1"/>
  <c r="Z51" i="7"/>
  <c r="X51" i="7"/>
  <c r="X59" i="7" s="1"/>
  <c r="W51" i="7"/>
  <c r="W59" i="7" s="1"/>
  <c r="V51" i="7"/>
  <c r="U51" i="7"/>
  <c r="T51" i="7"/>
  <c r="R51" i="7"/>
  <c r="S51" i="7" s="1"/>
  <c r="Q51" i="7"/>
  <c r="Q59" i="7" s="1"/>
  <c r="O51" i="7"/>
  <c r="O59" i="7" s="1"/>
  <c r="P59" i="7" s="1"/>
  <c r="N51" i="7"/>
  <c r="N59" i="7" s="1"/>
  <c r="L51" i="7"/>
  <c r="M51" i="7" s="1"/>
  <c r="K51" i="7"/>
  <c r="K59" i="7" s="1"/>
  <c r="I51" i="7"/>
  <c r="I59" i="7" s="1"/>
  <c r="J59" i="7" s="1"/>
  <c r="H51" i="7"/>
  <c r="H59" i="7" s="1"/>
  <c r="F51" i="7"/>
  <c r="F59" i="7" s="1"/>
  <c r="E51" i="7"/>
  <c r="E59" i="7" s="1"/>
  <c r="AD50" i="7"/>
  <c r="AB50" i="7"/>
  <c r="Y50" i="7"/>
  <c r="V50" i="7"/>
  <c r="S50" i="7"/>
  <c r="P50" i="7"/>
  <c r="M50" i="7"/>
  <c r="J50" i="7"/>
  <c r="G50" i="7"/>
  <c r="D50" i="7"/>
  <c r="C50" i="7"/>
  <c r="C51" i="7" s="1"/>
  <c r="B50" i="7"/>
  <c r="B51" i="7" s="1"/>
  <c r="AD49" i="7"/>
  <c r="AE49" i="7" s="1"/>
  <c r="AC49" i="7"/>
  <c r="AB49" i="7"/>
  <c r="Y49" i="7"/>
  <c r="V49" i="7"/>
  <c r="S49" i="7"/>
  <c r="P49" i="7"/>
  <c r="M49" i="7"/>
  <c r="J49" i="7"/>
  <c r="G49" i="7"/>
  <c r="D49" i="7"/>
  <c r="AD48" i="7"/>
  <c r="AB48" i="7"/>
  <c r="Y48" i="7"/>
  <c r="T48" i="7"/>
  <c r="AC48" i="7" s="1"/>
  <c r="S48" i="7"/>
  <c r="P48" i="7"/>
  <c r="M48" i="7"/>
  <c r="J48" i="7"/>
  <c r="G48" i="7"/>
  <c r="D48" i="7"/>
  <c r="AA47" i="7"/>
  <c r="AB47" i="7" s="1"/>
  <c r="Z47" i="7"/>
  <c r="X47" i="7"/>
  <c r="Y47" i="7" s="1"/>
  <c r="W47" i="7"/>
  <c r="U47" i="7"/>
  <c r="V47" i="7" s="1"/>
  <c r="T47" i="7"/>
  <c r="S47" i="7"/>
  <c r="R47" i="7"/>
  <c r="Q47" i="7"/>
  <c r="N47" i="7"/>
  <c r="L47" i="7"/>
  <c r="K47" i="7"/>
  <c r="M47" i="7" s="1"/>
  <c r="I47" i="7"/>
  <c r="J47" i="7" s="1"/>
  <c r="H47" i="7"/>
  <c r="E47" i="7"/>
  <c r="C47" i="7"/>
  <c r="B47" i="7"/>
  <c r="AC47" i="7" s="1"/>
  <c r="AC46" i="7"/>
  <c r="AB46" i="7"/>
  <c r="Y46" i="7"/>
  <c r="V46" i="7"/>
  <c r="S46" i="7"/>
  <c r="P46" i="7"/>
  <c r="M46" i="7"/>
  <c r="J46" i="7"/>
  <c r="F46" i="7"/>
  <c r="AD46" i="7" s="1"/>
  <c r="AE46" i="7" s="1"/>
  <c r="D46" i="7"/>
  <c r="AD45" i="7"/>
  <c r="AE45" i="7" s="1"/>
  <c r="AC45" i="7"/>
  <c r="AB45" i="7"/>
  <c r="Y45" i="7"/>
  <c r="V45" i="7"/>
  <c r="S45" i="7"/>
  <c r="P45" i="7"/>
  <c r="O45" i="7"/>
  <c r="O47" i="7" s="1"/>
  <c r="P47" i="7" s="1"/>
  <c r="M45" i="7"/>
  <c r="J45" i="7"/>
  <c r="G45" i="7"/>
  <c r="D45" i="7"/>
  <c r="AA44" i="7"/>
  <c r="AB44" i="7" s="1"/>
  <c r="Z44" i="7"/>
  <c r="U44" i="7"/>
  <c r="V44" i="7" s="1"/>
  <c r="T44" i="7"/>
  <c r="O44" i="7"/>
  <c r="P44" i="7" s="1"/>
  <c r="N44" i="7"/>
  <c r="L44" i="7"/>
  <c r="K44" i="7"/>
  <c r="M44" i="7" s="1"/>
  <c r="I44" i="7"/>
  <c r="H44" i="7"/>
  <c r="J44" i="7" s="1"/>
  <c r="F44" i="7"/>
  <c r="G44" i="7" s="1"/>
  <c r="E44" i="7"/>
  <c r="C44" i="7"/>
  <c r="B44" i="7"/>
  <c r="AD43" i="7"/>
  <c r="AB43" i="7"/>
  <c r="X43" i="7"/>
  <c r="X44" i="7" s="1"/>
  <c r="Y44" i="7" s="1"/>
  <c r="W43" i="7"/>
  <c r="W44" i="7" s="1"/>
  <c r="V43" i="7"/>
  <c r="S43" i="7"/>
  <c r="P43" i="7"/>
  <c r="M43" i="7"/>
  <c r="J43" i="7"/>
  <c r="G43" i="7"/>
  <c r="D43" i="7"/>
  <c r="AB42" i="7"/>
  <c r="Y42" i="7"/>
  <c r="V42" i="7"/>
  <c r="R42" i="7"/>
  <c r="R44" i="7" s="1"/>
  <c r="S44" i="7" s="1"/>
  <c r="Q42" i="7"/>
  <c r="Q44" i="7" s="1"/>
  <c r="P42" i="7"/>
  <c r="M42" i="7"/>
  <c r="J42" i="7"/>
  <c r="G42" i="7"/>
  <c r="D42" i="7"/>
  <c r="AD41" i="7"/>
  <c r="AE41" i="7" s="1"/>
  <c r="AC41" i="7"/>
  <c r="AB41" i="7"/>
  <c r="Y41" i="7"/>
  <c r="V41" i="7"/>
  <c r="S41" i="7"/>
  <c r="P41" i="7"/>
  <c r="M41" i="7"/>
  <c r="J41" i="7"/>
  <c r="G41" i="7"/>
  <c r="D41" i="7"/>
  <c r="AA39" i="7"/>
  <c r="AB39" i="7" s="1"/>
  <c r="Z39" i="7"/>
  <c r="W39" i="7"/>
  <c r="O39" i="7"/>
  <c r="P39" i="7" s="1"/>
  <c r="N39" i="7"/>
  <c r="L39" i="7"/>
  <c r="M39" i="7" s="1"/>
  <c r="K39" i="7"/>
  <c r="AC38" i="7"/>
  <c r="AB38" i="7"/>
  <c r="Y38" i="7"/>
  <c r="V38" i="7"/>
  <c r="S38" i="7"/>
  <c r="P38" i="7"/>
  <c r="M38" i="7"/>
  <c r="J38" i="7"/>
  <c r="G38" i="7"/>
  <c r="C38" i="7"/>
  <c r="D38" i="7" s="1"/>
  <c r="B38" i="7"/>
  <c r="AC37" i="7"/>
  <c r="AB37" i="7"/>
  <c r="Y37" i="7"/>
  <c r="X37" i="7"/>
  <c r="U37" i="7"/>
  <c r="V37" i="7" s="1"/>
  <c r="R37" i="7"/>
  <c r="S37" i="7" s="1"/>
  <c r="P37" i="7"/>
  <c r="M37" i="7"/>
  <c r="J37" i="7"/>
  <c r="I37" i="7"/>
  <c r="F37" i="7"/>
  <c r="G37" i="7" s="1"/>
  <c r="C37" i="7"/>
  <c r="D37" i="7" s="1"/>
  <c r="AC36" i="7"/>
  <c r="AB36" i="7"/>
  <c r="X36" i="7"/>
  <c r="Y36" i="7" s="1"/>
  <c r="W36" i="7"/>
  <c r="U36" i="7"/>
  <c r="V36" i="7" s="1"/>
  <c r="T36" i="7"/>
  <c r="S36" i="7"/>
  <c r="R36" i="7"/>
  <c r="Q36" i="7"/>
  <c r="P36" i="7"/>
  <c r="M36" i="7"/>
  <c r="I36" i="7"/>
  <c r="J36" i="7" s="1"/>
  <c r="H36" i="7"/>
  <c r="G36" i="7"/>
  <c r="F36" i="7"/>
  <c r="E36" i="7"/>
  <c r="C36" i="7"/>
  <c r="AD36" i="7" s="1"/>
  <c r="AE36" i="7" s="1"/>
  <c r="B36" i="7"/>
  <c r="D36" i="7" s="1"/>
  <c r="AC35" i="7"/>
  <c r="AB35" i="7"/>
  <c r="X35" i="7"/>
  <c r="Y35" i="7" s="1"/>
  <c r="W35" i="7"/>
  <c r="U35" i="7"/>
  <c r="U39" i="7" s="1"/>
  <c r="V39" i="7" s="1"/>
  <c r="T35" i="7"/>
  <c r="S35" i="7"/>
  <c r="R35" i="7"/>
  <c r="R39" i="7" s="1"/>
  <c r="Q35" i="7"/>
  <c r="P35" i="7"/>
  <c r="M35" i="7"/>
  <c r="J35" i="7"/>
  <c r="I35" i="7"/>
  <c r="I39" i="7" s="1"/>
  <c r="H35" i="7"/>
  <c r="G35" i="7"/>
  <c r="F35" i="7"/>
  <c r="F39" i="7" s="1"/>
  <c r="E35" i="7"/>
  <c r="C35" i="7"/>
  <c r="C39" i="7" s="1"/>
  <c r="B35" i="7"/>
  <c r="D35" i="7" s="1"/>
  <c r="AD34" i="7"/>
  <c r="AE34" i="7" s="1"/>
  <c r="AC34" i="7"/>
  <c r="AB34" i="7"/>
  <c r="W34" i="7"/>
  <c r="Y34" i="7" s="1"/>
  <c r="T34" i="7"/>
  <c r="T39" i="7" s="1"/>
  <c r="Q34" i="7"/>
  <c r="Q39" i="7" s="1"/>
  <c r="Q40" i="7" s="1"/>
  <c r="P34" i="7"/>
  <c r="M34" i="7"/>
  <c r="H34" i="7"/>
  <c r="J34" i="7" s="1"/>
  <c r="E34" i="7"/>
  <c r="E39" i="7" s="1"/>
  <c r="D34" i="7"/>
  <c r="AD33" i="7"/>
  <c r="AB33" i="7"/>
  <c r="Y33" i="7"/>
  <c r="V33" i="7"/>
  <c r="S33" i="7"/>
  <c r="P33" i="7"/>
  <c r="M33" i="7"/>
  <c r="J33" i="7"/>
  <c r="G33" i="7"/>
  <c r="B33" i="7"/>
  <c r="AC33" i="7" s="1"/>
  <c r="AA32" i="7"/>
  <c r="AB32" i="7" s="1"/>
  <c r="Z32" i="7"/>
  <c r="X32" i="7"/>
  <c r="Y32" i="7" s="1"/>
  <c r="W32" i="7"/>
  <c r="U32" i="7"/>
  <c r="V32" i="7" s="1"/>
  <c r="T32" i="7"/>
  <c r="S32" i="7"/>
  <c r="R32" i="7"/>
  <c r="Q32" i="7"/>
  <c r="O32" i="7"/>
  <c r="N32" i="7"/>
  <c r="P32" i="7" s="1"/>
  <c r="L32" i="7"/>
  <c r="M32" i="7" s="1"/>
  <c r="K32" i="7"/>
  <c r="I32" i="7"/>
  <c r="J32" i="7" s="1"/>
  <c r="H32" i="7"/>
  <c r="F32" i="7"/>
  <c r="G32" i="7" s="1"/>
  <c r="E32" i="7"/>
  <c r="AB31" i="7"/>
  <c r="Y31" i="7"/>
  <c r="V31" i="7"/>
  <c r="S31" i="7"/>
  <c r="P31" i="7"/>
  <c r="M31" i="7"/>
  <c r="J31" i="7"/>
  <c r="G31" i="7"/>
  <c r="D31" i="7"/>
  <c r="C31" i="7"/>
  <c r="AD31" i="7" s="1"/>
  <c r="AE31" i="7" s="1"/>
  <c r="B31" i="7"/>
  <c r="AC31" i="7" s="1"/>
  <c r="AD30" i="7"/>
  <c r="AB30" i="7"/>
  <c r="Y30" i="7"/>
  <c r="V30" i="7"/>
  <c r="S30" i="7"/>
  <c r="P30" i="7"/>
  <c r="M30" i="7"/>
  <c r="J30" i="7"/>
  <c r="G30" i="7"/>
  <c r="C30" i="7"/>
  <c r="B30" i="7"/>
  <c r="AC30" i="7" s="1"/>
  <c r="AE30" i="7" s="1"/>
  <c r="AC29" i="7"/>
  <c r="AB29" i="7"/>
  <c r="Y29" i="7"/>
  <c r="V29" i="7"/>
  <c r="S29" i="7"/>
  <c r="P29" i="7"/>
  <c r="M29" i="7"/>
  <c r="J29" i="7"/>
  <c r="G29" i="7"/>
  <c r="D29" i="7"/>
  <c r="C29" i="7"/>
  <c r="AD29" i="7" s="1"/>
  <c r="AE29" i="7" s="1"/>
  <c r="B29" i="7"/>
  <c r="AB28" i="7"/>
  <c r="Y28" i="7"/>
  <c r="V28" i="7"/>
  <c r="S28" i="7"/>
  <c r="P28" i="7"/>
  <c r="M28" i="7"/>
  <c r="J28" i="7"/>
  <c r="G28" i="7"/>
  <c r="C28" i="7"/>
  <c r="C32" i="7" s="1"/>
  <c r="B28" i="7"/>
  <c r="AC28" i="7" s="1"/>
  <c r="AD27" i="7"/>
  <c r="AB27" i="7"/>
  <c r="Y27" i="7"/>
  <c r="V27" i="7"/>
  <c r="S27" i="7"/>
  <c r="P27" i="7"/>
  <c r="M27" i="7"/>
  <c r="J27" i="7"/>
  <c r="G27" i="7"/>
  <c r="D27" i="7"/>
  <c r="B27" i="7"/>
  <c r="B32" i="7" s="1"/>
  <c r="AC32" i="7" s="1"/>
  <c r="AD26" i="7"/>
  <c r="AE26" i="7" s="1"/>
  <c r="AC26" i="7"/>
  <c r="AB26" i="7"/>
  <c r="Y26" i="7"/>
  <c r="V26" i="7"/>
  <c r="S26" i="7"/>
  <c r="P26" i="7"/>
  <c r="M26" i="7"/>
  <c r="J26" i="7"/>
  <c r="G26" i="7"/>
  <c r="D26" i="7"/>
  <c r="AA25" i="7"/>
  <c r="AB25" i="7" s="1"/>
  <c r="Z25" i="7"/>
  <c r="Y25" i="7"/>
  <c r="X25" i="7"/>
  <c r="W25" i="7"/>
  <c r="U25" i="7"/>
  <c r="V25" i="7" s="1"/>
  <c r="T25" i="7"/>
  <c r="R25" i="7"/>
  <c r="S25" i="7" s="1"/>
  <c r="Q25" i="7"/>
  <c r="O25" i="7"/>
  <c r="P25" i="7" s="1"/>
  <c r="N25" i="7"/>
  <c r="M25" i="7"/>
  <c r="L25" i="7"/>
  <c r="K25" i="7"/>
  <c r="F25" i="7"/>
  <c r="E25" i="7"/>
  <c r="G25" i="7" s="1"/>
  <c r="C25" i="7"/>
  <c r="B25" i="7"/>
  <c r="AC25" i="7" s="1"/>
  <c r="AC24" i="7"/>
  <c r="AB24" i="7"/>
  <c r="Y24" i="7"/>
  <c r="V24" i="7"/>
  <c r="S24" i="7"/>
  <c r="P24" i="7"/>
  <c r="M24" i="7"/>
  <c r="I24" i="7"/>
  <c r="AD24" i="7" s="1"/>
  <c r="AE24" i="7" s="1"/>
  <c r="H24" i="7"/>
  <c r="G24" i="7"/>
  <c r="D24" i="7"/>
  <c r="AD23" i="7"/>
  <c r="AE23" i="7" s="1"/>
  <c r="AC23" i="7"/>
  <c r="AB23" i="7"/>
  <c r="Y23" i="7"/>
  <c r="V23" i="7"/>
  <c r="S23" i="7"/>
  <c r="P23" i="7"/>
  <c r="M23" i="7"/>
  <c r="J23" i="7"/>
  <c r="I23" i="7"/>
  <c r="H23" i="7"/>
  <c r="H25" i="7" s="1"/>
  <c r="G23" i="7"/>
  <c r="D23" i="7"/>
  <c r="AB22" i="7"/>
  <c r="Z22" i="7"/>
  <c r="Y22" i="7"/>
  <c r="V22" i="7"/>
  <c r="S22" i="7"/>
  <c r="P22" i="7"/>
  <c r="M22" i="7"/>
  <c r="I22" i="7"/>
  <c r="I25" i="7" s="1"/>
  <c r="J25" i="7" s="1"/>
  <c r="G22" i="7"/>
  <c r="B22" i="7"/>
  <c r="D22" i="7" s="1"/>
  <c r="AA21" i="7"/>
  <c r="AA40" i="7" s="1"/>
  <c r="Z21" i="7"/>
  <c r="Z40" i="7" s="1"/>
  <c r="Z63" i="7" s="1"/>
  <c r="X21" i="7"/>
  <c r="W21" i="7"/>
  <c r="W40" i="7" s="1"/>
  <c r="V21" i="7"/>
  <c r="U21" i="7"/>
  <c r="U40" i="7" s="1"/>
  <c r="T21" i="7"/>
  <c r="T40" i="7" s="1"/>
  <c r="S21" i="7"/>
  <c r="R21" i="7"/>
  <c r="R40" i="7" s="1"/>
  <c r="Q21" i="7"/>
  <c r="O21" i="7"/>
  <c r="O40" i="7" s="1"/>
  <c r="N21" i="7"/>
  <c r="N40" i="7" s="1"/>
  <c r="N63" i="7" s="1"/>
  <c r="L21" i="7"/>
  <c r="L40" i="7" s="1"/>
  <c r="K21" i="7"/>
  <c r="K40" i="7" s="1"/>
  <c r="K63" i="7" s="1"/>
  <c r="H21" i="7"/>
  <c r="F21" i="7"/>
  <c r="F40" i="7" s="1"/>
  <c r="E21" i="7"/>
  <c r="C21" i="7"/>
  <c r="AD21" i="7" s="1"/>
  <c r="B21" i="7"/>
  <c r="AC21" i="7" s="1"/>
  <c r="AD20" i="7"/>
  <c r="AE20" i="7" s="1"/>
  <c r="AB20" i="7"/>
  <c r="Y20" i="7"/>
  <c r="V20" i="7"/>
  <c r="S20" i="7"/>
  <c r="P20" i="7"/>
  <c r="M20" i="7"/>
  <c r="J20" i="7"/>
  <c r="G20" i="7"/>
  <c r="D20" i="7"/>
  <c r="C20" i="7"/>
  <c r="B20" i="7"/>
  <c r="AC20" i="7" s="1"/>
  <c r="AD19" i="7"/>
  <c r="AB19" i="7"/>
  <c r="Z19" i="7"/>
  <c r="Y19" i="7"/>
  <c r="V19" i="7"/>
  <c r="S19" i="7"/>
  <c r="P19" i="7"/>
  <c r="M19" i="7"/>
  <c r="I19" i="7"/>
  <c r="I21" i="7" s="1"/>
  <c r="G19" i="7"/>
  <c r="D19" i="7"/>
  <c r="C19" i="7"/>
  <c r="B19" i="7"/>
  <c r="AC19" i="7" s="1"/>
  <c r="AE19" i="7" s="1"/>
  <c r="AE18" i="7"/>
  <c r="AD18" i="7"/>
  <c r="AC18" i="7"/>
  <c r="AB18" i="7"/>
  <c r="Y18" i="7"/>
  <c r="V18" i="7"/>
  <c r="S18" i="7"/>
  <c r="P18" i="7"/>
  <c r="M18" i="7"/>
  <c r="J18" i="7"/>
  <c r="G18" i="7"/>
  <c r="D18" i="7"/>
  <c r="AB17" i="7"/>
  <c r="Y17" i="7"/>
  <c r="V17" i="7"/>
  <c r="S17" i="7"/>
  <c r="P17" i="7"/>
  <c r="M17" i="7"/>
  <c r="J17" i="7"/>
  <c r="G17" i="7"/>
  <c r="C17" i="7"/>
  <c r="AD17" i="7" s="1"/>
  <c r="AE17" i="7" s="1"/>
  <c r="B17" i="7"/>
  <c r="AC17" i="7" s="1"/>
  <c r="AD16" i="7"/>
  <c r="AE16" i="7" s="1"/>
  <c r="AC16" i="7"/>
  <c r="AB16" i="7"/>
  <c r="Y16" i="7"/>
  <c r="V16" i="7"/>
  <c r="S16" i="7"/>
  <c r="P16" i="7"/>
  <c r="M16" i="7"/>
  <c r="J16" i="7"/>
  <c r="G16" i="7"/>
  <c r="D16" i="7"/>
  <c r="AA13" i="7"/>
  <c r="AA14" i="7" s="1"/>
  <c r="K13" i="7"/>
  <c r="K14" i="7" s="1"/>
  <c r="AB12" i="7"/>
  <c r="X12" i="7"/>
  <c r="Y12" i="7" s="1"/>
  <c r="W12" i="7"/>
  <c r="V12" i="7"/>
  <c r="U12" i="7"/>
  <c r="T12" i="7"/>
  <c r="R12" i="7"/>
  <c r="S12" i="7" s="1"/>
  <c r="Q12" i="7"/>
  <c r="P12" i="7"/>
  <c r="M12" i="7"/>
  <c r="J12" i="7"/>
  <c r="I12" i="7"/>
  <c r="H12" i="7"/>
  <c r="F12" i="7"/>
  <c r="G12" i="7" s="1"/>
  <c r="E12" i="7"/>
  <c r="C12" i="7"/>
  <c r="AD12" i="7" s="1"/>
  <c r="AE12" i="7" s="1"/>
  <c r="B12" i="7"/>
  <c r="AC12" i="7" s="1"/>
  <c r="AB11" i="7"/>
  <c r="Y11" i="7"/>
  <c r="V11" i="7"/>
  <c r="S11" i="7"/>
  <c r="R11" i="7"/>
  <c r="AD11" i="7" s="1"/>
  <c r="P11" i="7"/>
  <c r="M11" i="7"/>
  <c r="L11" i="7"/>
  <c r="K11" i="7"/>
  <c r="AC11" i="7" s="1"/>
  <c r="I11" i="7"/>
  <c r="J11" i="7" s="1"/>
  <c r="G11" i="7"/>
  <c r="D11" i="7"/>
  <c r="C11" i="7"/>
  <c r="AA10" i="7"/>
  <c r="AB10" i="7" s="1"/>
  <c r="Z10" i="7"/>
  <c r="Z13" i="7" s="1"/>
  <c r="Z14" i="7" s="1"/>
  <c r="Z64" i="7" s="1"/>
  <c r="Z65" i="7" s="1"/>
  <c r="Y10" i="7"/>
  <c r="X10" i="7"/>
  <c r="X13" i="7" s="1"/>
  <c r="W10" i="7"/>
  <c r="W13" i="7" s="1"/>
  <c r="W14" i="7" s="1"/>
  <c r="U10" i="7"/>
  <c r="V10" i="7" s="1"/>
  <c r="T10" i="7"/>
  <c r="T13" i="7" s="1"/>
  <c r="T14" i="7" s="1"/>
  <c r="R10" i="7"/>
  <c r="R13" i="7" s="1"/>
  <c r="Q10" i="7"/>
  <c r="Q13" i="7" s="1"/>
  <c r="Q14" i="7" s="1"/>
  <c r="M10" i="7"/>
  <c r="L10" i="7"/>
  <c r="L13" i="7" s="1"/>
  <c r="K10" i="7"/>
  <c r="J10" i="7"/>
  <c r="I10" i="7"/>
  <c r="I13" i="7" s="1"/>
  <c r="H10" i="7"/>
  <c r="H13" i="7" s="1"/>
  <c r="H14" i="7" s="1"/>
  <c r="E10" i="7"/>
  <c r="E13" i="7" s="1"/>
  <c r="E14" i="7" s="1"/>
  <c r="C10" i="7"/>
  <c r="B10" i="7"/>
  <c r="B13" i="7" s="1"/>
  <c r="AC9" i="7"/>
  <c r="AB9" i="7"/>
  <c r="Y9" i="7"/>
  <c r="V9" i="7"/>
  <c r="S9" i="7"/>
  <c r="P9" i="7"/>
  <c r="O9" i="7"/>
  <c r="O10" i="7" s="1"/>
  <c r="N9" i="7"/>
  <c r="N10" i="7" s="1"/>
  <c r="N13" i="7" s="1"/>
  <c r="N14" i="7" s="1"/>
  <c r="N64" i="7" s="1"/>
  <c r="N65" i="7" s="1"/>
  <c r="M9" i="7"/>
  <c r="J9" i="7"/>
  <c r="G9" i="7"/>
  <c r="F9" i="7"/>
  <c r="AD9" i="7" s="1"/>
  <c r="AE9" i="7" s="1"/>
  <c r="D9" i="7"/>
  <c r="AE8" i="7"/>
  <c r="AD8" i="7"/>
  <c r="AC8" i="7"/>
  <c r="AB8" i="7"/>
  <c r="Y8" i="7"/>
  <c r="V8" i="7"/>
  <c r="S8" i="7"/>
  <c r="P8" i="7"/>
  <c r="M8" i="7"/>
  <c r="J8" i="7"/>
  <c r="G8" i="7"/>
  <c r="D8" i="7"/>
  <c r="AA60" i="2"/>
  <c r="AB60" i="2" s="1"/>
  <c r="Z60" i="2"/>
  <c r="X60" i="2"/>
  <c r="Y60" i="2" s="1"/>
  <c r="W60" i="2"/>
  <c r="U60" i="2"/>
  <c r="V60" i="2" s="1"/>
  <c r="T60" i="2"/>
  <c r="S60" i="2"/>
  <c r="R60" i="2"/>
  <c r="Q60" i="2"/>
  <c r="P60" i="2"/>
  <c r="O60" i="2"/>
  <c r="N60" i="2"/>
  <c r="L60" i="2"/>
  <c r="M60" i="2" s="1"/>
  <c r="K60" i="2"/>
  <c r="I60" i="2"/>
  <c r="J60" i="2" s="1"/>
  <c r="H60" i="2"/>
  <c r="G60" i="2"/>
  <c r="F60" i="2"/>
  <c r="E60" i="2"/>
  <c r="C60" i="2"/>
  <c r="AD60" i="2" s="1"/>
  <c r="B60" i="2"/>
  <c r="AC60" i="2" s="1"/>
  <c r="AD59" i="2"/>
  <c r="AB59" i="2"/>
  <c r="Y59" i="2"/>
  <c r="V59" i="2"/>
  <c r="S59" i="2"/>
  <c r="P59" i="2"/>
  <c r="M59" i="2"/>
  <c r="J59" i="2"/>
  <c r="G59" i="2"/>
  <c r="C59" i="2"/>
  <c r="D59" i="2" s="1"/>
  <c r="B59" i="2"/>
  <c r="AC59" i="2" s="1"/>
  <c r="AE58" i="2"/>
  <c r="AD58" i="2"/>
  <c r="AC58" i="2"/>
  <c r="AB58" i="2"/>
  <c r="Y58" i="2"/>
  <c r="V58" i="2"/>
  <c r="S58" i="2"/>
  <c r="P58" i="2"/>
  <c r="M58" i="2"/>
  <c r="J58" i="2"/>
  <c r="G58" i="2"/>
  <c r="D58" i="2"/>
  <c r="AA57" i="2"/>
  <c r="AB57" i="2" s="1"/>
  <c r="Z57" i="2"/>
  <c r="X57" i="2"/>
  <c r="R57" i="2"/>
  <c r="K57" i="2"/>
  <c r="H57" i="2"/>
  <c r="B57" i="2"/>
  <c r="AA56" i="2"/>
  <c r="AB56" i="2" s="1"/>
  <c r="Z56" i="2"/>
  <c r="Y56" i="2"/>
  <c r="X56" i="2"/>
  <c r="W56" i="2"/>
  <c r="R56" i="2"/>
  <c r="S56" i="2" s="1"/>
  <c r="Q56" i="2"/>
  <c r="Q57" i="2" s="1"/>
  <c r="S57" i="2" s="1"/>
  <c r="O56" i="2"/>
  <c r="P56" i="2" s="1"/>
  <c r="N56" i="2"/>
  <c r="L56" i="2"/>
  <c r="M56" i="2" s="1"/>
  <c r="K56" i="2"/>
  <c r="I56" i="2"/>
  <c r="I57" i="2" s="1"/>
  <c r="J57" i="2" s="1"/>
  <c r="H56" i="2"/>
  <c r="F56" i="2"/>
  <c r="G56" i="2" s="1"/>
  <c r="E56" i="2"/>
  <c r="C56" i="2"/>
  <c r="D56" i="2" s="1"/>
  <c r="B56" i="2"/>
  <c r="AE55" i="2"/>
  <c r="AD55" i="2"/>
  <c r="AC55" i="2"/>
  <c r="AB55" i="2"/>
  <c r="Y55" i="2"/>
  <c r="U55" i="2"/>
  <c r="V55" i="2" s="1"/>
  <c r="T55" i="2"/>
  <c r="S55" i="2"/>
  <c r="P55" i="2"/>
  <c r="M55" i="2"/>
  <c r="J55" i="2"/>
  <c r="G55" i="2"/>
  <c r="D55" i="2"/>
  <c r="AC54" i="2"/>
  <c r="AB54" i="2"/>
  <c r="Y54" i="2"/>
  <c r="V54" i="2"/>
  <c r="U54" i="2"/>
  <c r="U56" i="2" s="1"/>
  <c r="T54" i="2"/>
  <c r="T56" i="2" s="1"/>
  <c r="S54" i="2"/>
  <c r="P54" i="2"/>
  <c r="M54" i="2"/>
  <c r="J54" i="2"/>
  <c r="G54" i="2"/>
  <c r="D54" i="2"/>
  <c r="AD53" i="2"/>
  <c r="AE53" i="2" s="1"/>
  <c r="AC53" i="2"/>
  <c r="AB53" i="2"/>
  <c r="Y53" i="2"/>
  <c r="V53" i="2"/>
  <c r="S53" i="2"/>
  <c r="P53" i="2"/>
  <c r="M53" i="2"/>
  <c r="J53" i="2"/>
  <c r="G53" i="2"/>
  <c r="D53" i="2"/>
  <c r="AE52" i="2"/>
  <c r="AD52" i="2"/>
  <c r="AC52" i="2"/>
  <c r="AB52" i="2"/>
  <c r="Y52" i="2"/>
  <c r="U52" i="2"/>
  <c r="V52" i="2" s="1"/>
  <c r="T52" i="2"/>
  <c r="S52" i="2"/>
  <c r="P52" i="2"/>
  <c r="M52" i="2"/>
  <c r="J52" i="2"/>
  <c r="G52" i="2"/>
  <c r="D52" i="2"/>
  <c r="AC51" i="2"/>
  <c r="AB51" i="2"/>
  <c r="Y51" i="2"/>
  <c r="V51" i="2"/>
  <c r="U51" i="2"/>
  <c r="AD51" i="2" s="1"/>
  <c r="AE51" i="2" s="1"/>
  <c r="S51" i="2"/>
  <c r="P51" i="2"/>
  <c r="M51" i="2"/>
  <c r="J51" i="2"/>
  <c r="G51" i="2"/>
  <c r="D51" i="2"/>
  <c r="AC50" i="2"/>
  <c r="AB50" i="2"/>
  <c r="Y50" i="2"/>
  <c r="V50" i="2"/>
  <c r="S50" i="2"/>
  <c r="P50" i="2"/>
  <c r="M50" i="2"/>
  <c r="J50" i="2"/>
  <c r="G50" i="2"/>
  <c r="D50" i="2"/>
  <c r="C50" i="2"/>
  <c r="AD50" i="2" s="1"/>
  <c r="AE50" i="2" s="1"/>
  <c r="AB49" i="2"/>
  <c r="AA49" i="2"/>
  <c r="Z49" i="2"/>
  <c r="X49" i="2"/>
  <c r="W49" i="2"/>
  <c r="W57" i="2" s="1"/>
  <c r="U49" i="2"/>
  <c r="T49" i="2"/>
  <c r="R49" i="2"/>
  <c r="S49" i="2" s="1"/>
  <c r="Q49" i="2"/>
  <c r="O49" i="2"/>
  <c r="O57" i="2" s="1"/>
  <c r="P57" i="2" s="1"/>
  <c r="N49" i="2"/>
  <c r="N57" i="2" s="1"/>
  <c r="L49" i="2"/>
  <c r="M49" i="2" s="1"/>
  <c r="K49" i="2"/>
  <c r="I49" i="2"/>
  <c r="J49" i="2" s="1"/>
  <c r="H49" i="2"/>
  <c r="G49" i="2"/>
  <c r="F49" i="2"/>
  <c r="F57" i="2" s="1"/>
  <c r="E49" i="2"/>
  <c r="AC49" i="2" s="1"/>
  <c r="B49" i="2"/>
  <c r="AC48" i="2"/>
  <c r="AB48" i="2"/>
  <c r="Y48" i="2"/>
  <c r="V48" i="2"/>
  <c r="S48" i="2"/>
  <c r="P48" i="2"/>
  <c r="M48" i="2"/>
  <c r="J48" i="2"/>
  <c r="G48" i="2"/>
  <c r="C48" i="2"/>
  <c r="C49" i="2" s="1"/>
  <c r="AE47" i="2"/>
  <c r="AD47" i="2"/>
  <c r="AC47" i="2"/>
  <c r="AB47" i="2"/>
  <c r="Y47" i="2"/>
  <c r="V47" i="2"/>
  <c r="S47" i="2"/>
  <c r="P47" i="2"/>
  <c r="M47" i="2"/>
  <c r="J47" i="2"/>
  <c r="G47" i="2"/>
  <c r="D47" i="2"/>
  <c r="AD46" i="2"/>
  <c r="AE46" i="2" s="1"/>
  <c r="AC46" i="2"/>
  <c r="AB46" i="2"/>
  <c r="Y46" i="2"/>
  <c r="V46" i="2"/>
  <c r="S46" i="2"/>
  <c r="P46" i="2"/>
  <c r="M46" i="2"/>
  <c r="J46" i="2"/>
  <c r="G46" i="2"/>
  <c r="D46" i="2"/>
  <c r="AA45" i="2"/>
  <c r="Z45" i="2"/>
  <c r="AB45" i="2" s="1"/>
  <c r="X45" i="2"/>
  <c r="Y45" i="2" s="1"/>
  <c r="W45" i="2"/>
  <c r="U45" i="2"/>
  <c r="V45" i="2" s="1"/>
  <c r="T45" i="2"/>
  <c r="R45" i="2"/>
  <c r="S45" i="2" s="1"/>
  <c r="Q45" i="2"/>
  <c r="O45" i="2"/>
  <c r="P45" i="2" s="1"/>
  <c r="N45" i="2"/>
  <c r="L45" i="2"/>
  <c r="M45" i="2" s="1"/>
  <c r="K45" i="2"/>
  <c r="J45" i="2"/>
  <c r="I45" i="2"/>
  <c r="H45" i="2"/>
  <c r="E45" i="2"/>
  <c r="C45" i="2"/>
  <c r="AD45" i="2" s="1"/>
  <c r="AE45" i="2" s="1"/>
  <c r="B45" i="2"/>
  <c r="AC45" i="2" s="1"/>
  <c r="AD44" i="2"/>
  <c r="AE44" i="2" s="1"/>
  <c r="AC44" i="2"/>
  <c r="AB44" i="2"/>
  <c r="Y44" i="2"/>
  <c r="V44" i="2"/>
  <c r="S44" i="2"/>
  <c r="P44" i="2"/>
  <c r="M44" i="2"/>
  <c r="J44" i="2"/>
  <c r="G44" i="2"/>
  <c r="F44" i="2"/>
  <c r="F45" i="2" s="1"/>
  <c r="G45" i="2" s="1"/>
  <c r="D44" i="2"/>
  <c r="AC43" i="2"/>
  <c r="AB43" i="2"/>
  <c r="Y43" i="2"/>
  <c r="V43" i="2"/>
  <c r="S43" i="2"/>
  <c r="O43" i="2"/>
  <c r="P43" i="2" s="1"/>
  <c r="M43" i="2"/>
  <c r="J43" i="2"/>
  <c r="G43" i="2"/>
  <c r="D43" i="2"/>
  <c r="AA42" i="2"/>
  <c r="AB42" i="2" s="1"/>
  <c r="Z42" i="2"/>
  <c r="X42" i="2"/>
  <c r="Y42" i="2" s="1"/>
  <c r="W42" i="2"/>
  <c r="U42" i="2"/>
  <c r="V42" i="2" s="1"/>
  <c r="T42" i="2"/>
  <c r="R42" i="2"/>
  <c r="S42" i="2" s="1"/>
  <c r="Q42" i="2"/>
  <c r="O42" i="2"/>
  <c r="P42" i="2" s="1"/>
  <c r="N42" i="2"/>
  <c r="L42" i="2"/>
  <c r="M42" i="2" s="1"/>
  <c r="K42" i="2"/>
  <c r="J42" i="2"/>
  <c r="I42" i="2"/>
  <c r="H42" i="2"/>
  <c r="G42" i="2"/>
  <c r="F42" i="2"/>
  <c r="E42" i="2"/>
  <c r="C42" i="2"/>
  <c r="AD42" i="2" s="1"/>
  <c r="B42" i="2"/>
  <c r="AC42" i="2" s="1"/>
  <c r="AD41" i="2"/>
  <c r="AE41" i="2" s="1"/>
  <c r="AC41" i="2"/>
  <c r="AB41" i="2"/>
  <c r="X41" i="2"/>
  <c r="Y41" i="2" s="1"/>
  <c r="W41" i="2"/>
  <c r="V41" i="2"/>
  <c r="S41" i="2"/>
  <c r="P41" i="2"/>
  <c r="M41" i="2"/>
  <c r="J41" i="2"/>
  <c r="G41" i="2"/>
  <c r="D41" i="2"/>
  <c r="AD40" i="2"/>
  <c r="AE40" i="2" s="1"/>
  <c r="AC40" i="2"/>
  <c r="AB40" i="2"/>
  <c r="Y40" i="2"/>
  <c r="V40" i="2"/>
  <c r="R40" i="2"/>
  <c r="S40" i="2" s="1"/>
  <c r="Q40" i="2"/>
  <c r="P40" i="2"/>
  <c r="M40" i="2"/>
  <c r="J40" i="2"/>
  <c r="G40" i="2"/>
  <c r="D40" i="2"/>
  <c r="AD39" i="2"/>
  <c r="AE39" i="2" s="1"/>
  <c r="AC39" i="2"/>
  <c r="AB39" i="2"/>
  <c r="Y39" i="2"/>
  <c r="V39" i="2"/>
  <c r="S39" i="2"/>
  <c r="P39" i="2"/>
  <c r="M39" i="2"/>
  <c r="J39" i="2"/>
  <c r="G39" i="2"/>
  <c r="D39" i="2"/>
  <c r="AA37" i="2"/>
  <c r="AB37" i="2" s="1"/>
  <c r="Z37" i="2"/>
  <c r="T37" i="2"/>
  <c r="O37" i="2"/>
  <c r="P37" i="2" s="1"/>
  <c r="N37" i="2"/>
  <c r="L37" i="2"/>
  <c r="M37" i="2" s="1"/>
  <c r="K37" i="2"/>
  <c r="AB36" i="2"/>
  <c r="Y36" i="2"/>
  <c r="V36" i="2"/>
  <c r="S36" i="2"/>
  <c r="P36" i="2"/>
  <c r="M36" i="2"/>
  <c r="J36" i="2"/>
  <c r="G36" i="2"/>
  <c r="D36" i="2"/>
  <c r="C36" i="2"/>
  <c r="AD36" i="2" s="1"/>
  <c r="B36" i="2"/>
  <c r="AC36" i="2" s="1"/>
  <c r="AC35" i="2"/>
  <c r="AB35" i="2"/>
  <c r="X35" i="2"/>
  <c r="Y35" i="2" s="1"/>
  <c r="U35" i="2"/>
  <c r="U37" i="2" s="1"/>
  <c r="V37" i="2" s="1"/>
  <c r="S35" i="2"/>
  <c r="R35" i="2"/>
  <c r="P35" i="2"/>
  <c r="M35" i="2"/>
  <c r="I35" i="2"/>
  <c r="J35" i="2" s="1"/>
  <c r="F35" i="2"/>
  <c r="G35" i="2" s="1"/>
  <c r="D35" i="2"/>
  <c r="C35" i="2"/>
  <c r="AD35" i="2" s="1"/>
  <c r="AE35" i="2" s="1"/>
  <c r="AB34" i="2"/>
  <c r="X34" i="2"/>
  <c r="Y34" i="2" s="1"/>
  <c r="W34" i="2"/>
  <c r="U34" i="2"/>
  <c r="V34" i="2" s="1"/>
  <c r="T34" i="2"/>
  <c r="R34" i="2"/>
  <c r="S34" i="2" s="1"/>
  <c r="Q34" i="2"/>
  <c r="P34" i="2"/>
  <c r="M34" i="2"/>
  <c r="I34" i="2"/>
  <c r="J34" i="2" s="1"/>
  <c r="H34" i="2"/>
  <c r="F34" i="2"/>
  <c r="G34" i="2" s="1"/>
  <c r="E34" i="2"/>
  <c r="C34" i="2"/>
  <c r="D34" i="2" s="1"/>
  <c r="B34" i="2"/>
  <c r="AC34" i="2" s="1"/>
  <c r="AB33" i="2"/>
  <c r="X33" i="2"/>
  <c r="X37" i="2" s="1"/>
  <c r="Y37" i="2" s="1"/>
  <c r="W33" i="2"/>
  <c r="W37" i="2" s="1"/>
  <c r="U33" i="2"/>
  <c r="V33" i="2" s="1"/>
  <c r="T33" i="2"/>
  <c r="R33" i="2"/>
  <c r="R37" i="2" s="1"/>
  <c r="Q33" i="2"/>
  <c r="Q37" i="2" s="1"/>
  <c r="P33" i="2"/>
  <c r="M33" i="2"/>
  <c r="I33" i="2"/>
  <c r="J33" i="2" s="1"/>
  <c r="H33" i="2"/>
  <c r="H37" i="2" s="1"/>
  <c r="F33" i="2"/>
  <c r="G33" i="2" s="1"/>
  <c r="E33" i="2"/>
  <c r="E37" i="2" s="1"/>
  <c r="C33" i="2"/>
  <c r="D33" i="2" s="1"/>
  <c r="B33" i="2"/>
  <c r="B37" i="2" s="1"/>
  <c r="AD32" i="2"/>
  <c r="AE32" i="2" s="1"/>
  <c r="AC32" i="2"/>
  <c r="AB32" i="2"/>
  <c r="Y32" i="2"/>
  <c r="V32" i="2"/>
  <c r="S32" i="2"/>
  <c r="P32" i="2"/>
  <c r="M32" i="2"/>
  <c r="J32" i="2"/>
  <c r="G32" i="2"/>
  <c r="D32" i="2"/>
  <c r="AA31" i="2"/>
  <c r="AB31" i="2" s="1"/>
  <c r="Z31" i="2"/>
  <c r="X31" i="2"/>
  <c r="X38" i="2" s="1"/>
  <c r="W31" i="2"/>
  <c r="U31" i="2"/>
  <c r="V31" i="2" s="1"/>
  <c r="T31" i="2"/>
  <c r="R31" i="2"/>
  <c r="S31" i="2" s="1"/>
  <c r="Q31" i="2"/>
  <c r="P31" i="2"/>
  <c r="O31" i="2"/>
  <c r="N31" i="2"/>
  <c r="M31" i="2"/>
  <c r="L31" i="2"/>
  <c r="K31" i="2"/>
  <c r="I31" i="2"/>
  <c r="J31" i="2" s="1"/>
  <c r="H31" i="2"/>
  <c r="F31" i="2"/>
  <c r="G31" i="2" s="1"/>
  <c r="E31" i="2"/>
  <c r="AD30" i="2"/>
  <c r="AE30" i="2" s="1"/>
  <c r="AC30" i="2"/>
  <c r="AB30" i="2"/>
  <c r="Y30" i="2"/>
  <c r="V30" i="2"/>
  <c r="S30" i="2"/>
  <c r="P30" i="2"/>
  <c r="M30" i="2"/>
  <c r="J30" i="2"/>
  <c r="G30" i="2"/>
  <c r="C30" i="2"/>
  <c r="D30" i="2" s="1"/>
  <c r="B30" i="2"/>
  <c r="AB29" i="2"/>
  <c r="Y29" i="2"/>
  <c r="V29" i="2"/>
  <c r="S29" i="2"/>
  <c r="P29" i="2"/>
  <c r="M29" i="2"/>
  <c r="J29" i="2"/>
  <c r="G29" i="2"/>
  <c r="D29" i="2"/>
  <c r="C29" i="2"/>
  <c r="AD29" i="2" s="1"/>
  <c r="AE29" i="2" s="1"/>
  <c r="B29" i="2"/>
  <c r="AC29" i="2" s="1"/>
  <c r="AB28" i="2"/>
  <c r="Y28" i="2"/>
  <c r="V28" i="2"/>
  <c r="S28" i="2"/>
  <c r="P28" i="2"/>
  <c r="M28" i="2"/>
  <c r="J28" i="2"/>
  <c r="G28" i="2"/>
  <c r="C28" i="2"/>
  <c r="AD28" i="2" s="1"/>
  <c r="B28" i="2"/>
  <c r="AC28" i="2" s="1"/>
  <c r="AD27" i="2"/>
  <c r="AE27" i="2" s="1"/>
  <c r="AC27" i="2"/>
  <c r="AB27" i="2"/>
  <c r="Y27" i="2"/>
  <c r="V27" i="2"/>
  <c r="S27" i="2"/>
  <c r="P27" i="2"/>
  <c r="M27" i="2"/>
  <c r="J27" i="2"/>
  <c r="G27" i="2"/>
  <c r="C27" i="2"/>
  <c r="D27" i="2" s="1"/>
  <c r="AD26" i="2"/>
  <c r="AE26" i="2" s="1"/>
  <c r="AC26" i="2"/>
  <c r="AB26" i="2"/>
  <c r="Y26" i="2"/>
  <c r="V26" i="2"/>
  <c r="S26" i="2"/>
  <c r="P26" i="2"/>
  <c r="M26" i="2"/>
  <c r="J26" i="2"/>
  <c r="G26" i="2"/>
  <c r="D26" i="2"/>
  <c r="AA25" i="2"/>
  <c r="AB25" i="2" s="1"/>
  <c r="Z25" i="2"/>
  <c r="Y25" i="2"/>
  <c r="X25" i="2"/>
  <c r="W25" i="2"/>
  <c r="V25" i="2"/>
  <c r="U25" i="2"/>
  <c r="T25" i="2"/>
  <c r="R25" i="2"/>
  <c r="S25" i="2" s="1"/>
  <c r="Q25" i="2"/>
  <c r="O25" i="2"/>
  <c r="P25" i="2" s="1"/>
  <c r="N25" i="2"/>
  <c r="L25" i="2"/>
  <c r="M25" i="2" s="1"/>
  <c r="K25" i="2"/>
  <c r="I25" i="2"/>
  <c r="F25" i="2"/>
  <c r="G25" i="2" s="1"/>
  <c r="E25" i="2"/>
  <c r="C25" i="2"/>
  <c r="D25" i="2" s="1"/>
  <c r="B25" i="2"/>
  <c r="AC24" i="2"/>
  <c r="AB24" i="2"/>
  <c r="Y24" i="2"/>
  <c r="V24" i="2"/>
  <c r="S24" i="2"/>
  <c r="P24" i="2"/>
  <c r="M24" i="2"/>
  <c r="I24" i="2"/>
  <c r="AD24" i="2" s="1"/>
  <c r="AE24" i="2" s="1"/>
  <c r="G24" i="2"/>
  <c r="D24" i="2"/>
  <c r="AB23" i="2"/>
  <c r="Y23" i="2"/>
  <c r="V23" i="2"/>
  <c r="S23" i="2"/>
  <c r="P23" i="2"/>
  <c r="M23" i="2"/>
  <c r="I23" i="2"/>
  <c r="AD23" i="2" s="1"/>
  <c r="AE23" i="2" s="1"/>
  <c r="H23" i="2"/>
  <c r="AC23" i="2" s="1"/>
  <c r="G23" i="2"/>
  <c r="D23" i="2"/>
  <c r="AC22" i="2"/>
  <c r="AB22" i="2"/>
  <c r="Y22" i="2"/>
  <c r="V22" i="2"/>
  <c r="S22" i="2"/>
  <c r="P22" i="2"/>
  <c r="M22" i="2"/>
  <c r="I22" i="2"/>
  <c r="AD22" i="2" s="1"/>
  <c r="AE22" i="2" s="1"/>
  <c r="G22" i="2"/>
  <c r="D22" i="2"/>
  <c r="AA21" i="2"/>
  <c r="AA38" i="2" s="1"/>
  <c r="X21" i="2"/>
  <c r="Y21" i="2" s="1"/>
  <c r="W21" i="2"/>
  <c r="U21" i="2"/>
  <c r="U38" i="2" s="1"/>
  <c r="T21" i="2"/>
  <c r="T38" i="2" s="1"/>
  <c r="R21" i="2"/>
  <c r="S21" i="2" s="1"/>
  <c r="Q21" i="2"/>
  <c r="Q38" i="2" s="1"/>
  <c r="Q61" i="2" s="1"/>
  <c r="O21" i="2"/>
  <c r="P21" i="2" s="1"/>
  <c r="N21" i="2"/>
  <c r="N38" i="2" s="1"/>
  <c r="N61" i="2" s="1"/>
  <c r="M21" i="2"/>
  <c r="L21" i="2"/>
  <c r="L38" i="2" s="1"/>
  <c r="K21" i="2"/>
  <c r="K38" i="2" s="1"/>
  <c r="K61" i="2" s="1"/>
  <c r="H21" i="2"/>
  <c r="G21" i="2"/>
  <c r="F21" i="2"/>
  <c r="E21" i="2"/>
  <c r="AC20" i="2"/>
  <c r="AB20" i="2"/>
  <c r="Y20" i="2"/>
  <c r="V20" i="2"/>
  <c r="S20" i="2"/>
  <c r="P20" i="2"/>
  <c r="M20" i="2"/>
  <c r="J20" i="2"/>
  <c r="G20" i="2"/>
  <c r="C20" i="2"/>
  <c r="AD20" i="2" s="1"/>
  <c r="AE20" i="2" s="1"/>
  <c r="B20" i="2"/>
  <c r="Z19" i="2"/>
  <c r="Z21" i="2" s="1"/>
  <c r="Y19" i="2"/>
  <c r="V19" i="2"/>
  <c r="S19" i="2"/>
  <c r="P19" i="2"/>
  <c r="M19" i="2"/>
  <c r="I19" i="2"/>
  <c r="I21" i="2" s="1"/>
  <c r="G19" i="2"/>
  <c r="C19" i="2"/>
  <c r="C21" i="2" s="1"/>
  <c r="B19" i="2"/>
  <c r="B21" i="2" s="1"/>
  <c r="AE18" i="2"/>
  <c r="AD18" i="2"/>
  <c r="AC18" i="2"/>
  <c r="AB18" i="2"/>
  <c r="Y18" i="2"/>
  <c r="V18" i="2"/>
  <c r="S18" i="2"/>
  <c r="P18" i="2"/>
  <c r="M18" i="2"/>
  <c r="J18" i="2"/>
  <c r="G18" i="2"/>
  <c r="D18" i="2"/>
  <c r="AE17" i="2"/>
  <c r="AD17" i="2"/>
  <c r="AC17" i="2"/>
  <c r="AB17" i="2"/>
  <c r="Y17" i="2"/>
  <c r="V17" i="2"/>
  <c r="S17" i="2"/>
  <c r="P17" i="2"/>
  <c r="M17" i="2"/>
  <c r="J17" i="2"/>
  <c r="G17" i="2"/>
  <c r="D17" i="2"/>
  <c r="C17" i="2"/>
  <c r="AD16" i="2"/>
  <c r="AE16" i="2" s="1"/>
  <c r="AC16" i="2"/>
  <c r="AB16" i="2"/>
  <c r="Y16" i="2"/>
  <c r="V16" i="2"/>
  <c r="S16" i="2"/>
  <c r="P16" i="2"/>
  <c r="M16" i="2"/>
  <c r="J16" i="2"/>
  <c r="G16" i="2"/>
  <c r="D16" i="2"/>
  <c r="N13" i="2"/>
  <c r="N14" i="2" s="1"/>
  <c r="AB12" i="2"/>
  <c r="X12" i="2"/>
  <c r="Y12" i="2" s="1"/>
  <c r="W12" i="2"/>
  <c r="V12" i="2"/>
  <c r="U12" i="2"/>
  <c r="T12" i="2"/>
  <c r="R12" i="2"/>
  <c r="S12" i="2" s="1"/>
  <c r="Q12" i="2"/>
  <c r="P12" i="2"/>
  <c r="M12" i="2"/>
  <c r="J12" i="2"/>
  <c r="I12" i="2"/>
  <c r="H12" i="2"/>
  <c r="F12" i="2"/>
  <c r="G12" i="2" s="1"/>
  <c r="E12" i="2"/>
  <c r="D12" i="2"/>
  <c r="C12" i="2"/>
  <c r="AD12" i="2" s="1"/>
  <c r="B12" i="2"/>
  <c r="AC12" i="2" s="1"/>
  <c r="AB11" i="2"/>
  <c r="Y11" i="2"/>
  <c r="V11" i="2"/>
  <c r="S11" i="2"/>
  <c r="R11" i="2"/>
  <c r="P11" i="2"/>
  <c r="L11" i="2"/>
  <c r="K11" i="2"/>
  <c r="M11" i="2" s="1"/>
  <c r="I11" i="2"/>
  <c r="J11" i="2" s="1"/>
  <c r="G11" i="2"/>
  <c r="D11" i="2"/>
  <c r="C11" i="2"/>
  <c r="AD11" i="2" s="1"/>
  <c r="AA10" i="2"/>
  <c r="AA13" i="2" s="1"/>
  <c r="Z10" i="2"/>
  <c r="Z13" i="2" s="1"/>
  <c r="Z14" i="2" s="1"/>
  <c r="Y10" i="2"/>
  <c r="X10" i="2"/>
  <c r="X13" i="2" s="1"/>
  <c r="W10" i="2"/>
  <c r="W13" i="2" s="1"/>
  <c r="W14" i="2" s="1"/>
  <c r="U10" i="2"/>
  <c r="V10" i="2" s="1"/>
  <c r="T10" i="2"/>
  <c r="T13" i="2" s="1"/>
  <c r="T14" i="2" s="1"/>
  <c r="R10" i="2"/>
  <c r="S10" i="2" s="1"/>
  <c r="Q10" i="2"/>
  <c r="Q13" i="2" s="1"/>
  <c r="Q14" i="2" s="1"/>
  <c r="Q62" i="2" s="1"/>
  <c r="Q63" i="2" s="1"/>
  <c r="N10" i="2"/>
  <c r="M10" i="2"/>
  <c r="L10" i="2"/>
  <c r="L13" i="2" s="1"/>
  <c r="K10" i="2"/>
  <c r="K13" i="2" s="1"/>
  <c r="K14" i="2" s="1"/>
  <c r="K62" i="2" s="1"/>
  <c r="K63" i="2" s="1"/>
  <c r="J10" i="2"/>
  <c r="I10" i="2"/>
  <c r="I13" i="2" s="1"/>
  <c r="H10" i="2"/>
  <c r="H13" i="2" s="1"/>
  <c r="H14" i="2" s="1"/>
  <c r="E10" i="2"/>
  <c r="AC10" i="2" s="1"/>
  <c r="C10" i="2"/>
  <c r="C13" i="2" s="1"/>
  <c r="B10" i="2"/>
  <c r="B13" i="2" s="1"/>
  <c r="AC9" i="2"/>
  <c r="AB9" i="2"/>
  <c r="Y9" i="2"/>
  <c r="V9" i="2"/>
  <c r="S9" i="2"/>
  <c r="P9" i="2"/>
  <c r="O9" i="2"/>
  <c r="O10" i="2" s="1"/>
  <c r="M9" i="2"/>
  <c r="J9" i="2"/>
  <c r="F9" i="2"/>
  <c r="AD9" i="2" s="1"/>
  <c r="AE9" i="2" s="1"/>
  <c r="D9" i="2"/>
  <c r="AD8" i="2"/>
  <c r="AE8" i="2" s="1"/>
  <c r="AC8" i="2"/>
  <c r="AB8" i="2"/>
  <c r="Y8" i="2"/>
  <c r="V8" i="2"/>
  <c r="S8" i="2"/>
  <c r="P8" i="2"/>
  <c r="M8" i="2"/>
  <c r="J8" i="2"/>
  <c r="G8" i="2"/>
  <c r="D8" i="2"/>
  <c r="B9" i="5"/>
  <c r="B10" i="5"/>
  <c r="B11" i="5"/>
  <c r="B12" i="5"/>
  <c r="B13" i="5"/>
  <c r="B14" i="5"/>
  <c r="B15" i="5"/>
  <c r="B17" i="5" s="1"/>
  <c r="B16" i="5"/>
  <c r="P10" i="7" l="1"/>
  <c r="O13" i="7"/>
  <c r="S13" i="7"/>
  <c r="R14" i="7"/>
  <c r="AE11" i="7"/>
  <c r="L63" i="7"/>
  <c r="M63" i="7" s="1"/>
  <c r="M40" i="7"/>
  <c r="AD25" i="7"/>
  <c r="AE25" i="7" s="1"/>
  <c r="AD32" i="7"/>
  <c r="AE32" i="7" s="1"/>
  <c r="D32" i="7"/>
  <c r="Y59" i="7"/>
  <c r="AB14" i="7"/>
  <c r="V40" i="7"/>
  <c r="D51" i="7"/>
  <c r="C59" i="7"/>
  <c r="AD51" i="7"/>
  <c r="W63" i="7"/>
  <c r="J13" i="7"/>
  <c r="I14" i="7"/>
  <c r="AE48" i="7"/>
  <c r="W64" i="7"/>
  <c r="W65" i="7" s="1"/>
  <c r="AE21" i="7"/>
  <c r="Q63" i="7"/>
  <c r="Q64" i="7" s="1"/>
  <c r="Q65" i="7" s="1"/>
  <c r="G59" i="7"/>
  <c r="P40" i="7"/>
  <c r="O63" i="7"/>
  <c r="P63" i="7" s="1"/>
  <c r="Y13" i="7"/>
  <c r="X14" i="7"/>
  <c r="E40" i="7"/>
  <c r="E63" i="7" s="1"/>
  <c r="E64" i="7" s="1"/>
  <c r="E65" i="7" s="1"/>
  <c r="R63" i="7"/>
  <c r="S63" i="7" s="1"/>
  <c r="S40" i="7"/>
  <c r="AB40" i="7"/>
  <c r="G39" i="7"/>
  <c r="S39" i="7"/>
  <c r="AC44" i="7"/>
  <c r="AE57" i="7"/>
  <c r="L14" i="7"/>
  <c r="M13" i="7"/>
  <c r="J21" i="7"/>
  <c r="I40" i="7"/>
  <c r="G40" i="7"/>
  <c r="AE33" i="7"/>
  <c r="AD44" i="7"/>
  <c r="AC58" i="7"/>
  <c r="B14" i="7"/>
  <c r="AC13" i="7"/>
  <c r="K64" i="7"/>
  <c r="K65" i="7" s="1"/>
  <c r="H40" i="7"/>
  <c r="H63" i="7" s="1"/>
  <c r="H64" i="7" s="1"/>
  <c r="H65" i="7" s="1"/>
  <c r="AC51" i="7"/>
  <c r="B59" i="7"/>
  <c r="AC59" i="7" s="1"/>
  <c r="S59" i="7"/>
  <c r="S10" i="7"/>
  <c r="D12" i="7"/>
  <c r="AB13" i="7"/>
  <c r="D17" i="7"/>
  <c r="D21" i="7"/>
  <c r="AB21" i="7"/>
  <c r="J22" i="7"/>
  <c r="AC22" i="7"/>
  <c r="D28" i="7"/>
  <c r="AD35" i="7"/>
  <c r="AE35" i="7" s="1"/>
  <c r="AD38" i="7"/>
  <c r="AE38" i="7" s="1"/>
  <c r="H39" i="7"/>
  <c r="J39" i="7" s="1"/>
  <c r="X39" i="7"/>
  <c r="Y39" i="7" s="1"/>
  <c r="D44" i="7"/>
  <c r="D47" i="7"/>
  <c r="AC50" i="7"/>
  <c r="AE50" i="7" s="1"/>
  <c r="G51" i="7"/>
  <c r="AA59" i="7"/>
  <c r="AB59" i="7" s="1"/>
  <c r="C62" i="7"/>
  <c r="D10" i="7"/>
  <c r="U13" i="7"/>
  <c r="M21" i="7"/>
  <c r="AD22" i="7"/>
  <c r="AE22" i="7" s="1"/>
  <c r="D25" i="7"/>
  <c r="S34" i="7"/>
  <c r="C40" i="7"/>
  <c r="S42" i="7"/>
  <c r="Y43" i="7"/>
  <c r="P51" i="7"/>
  <c r="L59" i="7"/>
  <c r="M59" i="7" s="1"/>
  <c r="T59" i="7"/>
  <c r="T63" i="7" s="1"/>
  <c r="T64" i="7" s="1"/>
  <c r="T65" i="7" s="1"/>
  <c r="C13" i="7"/>
  <c r="AC10" i="7"/>
  <c r="AD28" i="7"/>
  <c r="AE28" i="7" s="1"/>
  <c r="V35" i="7"/>
  <c r="AD37" i="7"/>
  <c r="AE37" i="7" s="1"/>
  <c r="B39" i="7"/>
  <c r="AC39" i="7" s="1"/>
  <c r="F47" i="7"/>
  <c r="G47" i="7" s="1"/>
  <c r="Y51" i="7"/>
  <c r="D52" i="7"/>
  <c r="F10" i="7"/>
  <c r="AD10" i="7" s="1"/>
  <c r="AE10" i="7" s="1"/>
  <c r="G21" i="7"/>
  <c r="AC27" i="7"/>
  <c r="AE27" i="7" s="1"/>
  <c r="G34" i="7"/>
  <c r="V34" i="7"/>
  <c r="AC43" i="7"/>
  <c r="AE43" i="7" s="1"/>
  <c r="G46" i="7"/>
  <c r="V48" i="7"/>
  <c r="J51" i="7"/>
  <c r="D58" i="7"/>
  <c r="D61" i="7"/>
  <c r="P21" i="7"/>
  <c r="D30" i="7"/>
  <c r="U58" i="7"/>
  <c r="V58" i="7" s="1"/>
  <c r="J19" i="7"/>
  <c r="Y21" i="7"/>
  <c r="J24" i="7"/>
  <c r="D33" i="7"/>
  <c r="AC42" i="7"/>
  <c r="AD42" i="7"/>
  <c r="AE42" i="7" s="1"/>
  <c r="AB13" i="2"/>
  <c r="AA14" i="2"/>
  <c r="E38" i="2"/>
  <c r="AE28" i="2"/>
  <c r="AE36" i="2"/>
  <c r="Y57" i="2"/>
  <c r="X61" i="2"/>
  <c r="D49" i="2"/>
  <c r="C57" i="2"/>
  <c r="AD49" i="2"/>
  <c r="AE49" i="2" s="1"/>
  <c r="J13" i="2"/>
  <c r="I14" i="2"/>
  <c r="T62" i="2"/>
  <c r="T63" i="2" s="1"/>
  <c r="V56" i="2"/>
  <c r="AE59" i="2"/>
  <c r="AC21" i="2"/>
  <c r="T61" i="2"/>
  <c r="AC56" i="2"/>
  <c r="AE60" i="2"/>
  <c r="L14" i="2"/>
  <c r="M13" i="2"/>
  <c r="X14" i="2"/>
  <c r="Y13" i="2"/>
  <c r="D21" i="2"/>
  <c r="AD21" i="2"/>
  <c r="AE21" i="2" s="1"/>
  <c r="AB21" i="2"/>
  <c r="Z38" i="2"/>
  <c r="Z61" i="2" s="1"/>
  <c r="V38" i="2"/>
  <c r="AA61" i="2"/>
  <c r="AB61" i="2" s="1"/>
  <c r="AB38" i="2"/>
  <c r="C38" i="2"/>
  <c r="B14" i="2"/>
  <c r="AE12" i="2"/>
  <c r="M38" i="2"/>
  <c r="L61" i="2"/>
  <c r="M61" i="2" s="1"/>
  <c r="W38" i="2"/>
  <c r="W61" i="2" s="1"/>
  <c r="W62" i="2" s="1"/>
  <c r="W63" i="2" s="1"/>
  <c r="AC37" i="2"/>
  <c r="AE42" i="2"/>
  <c r="T57" i="2"/>
  <c r="P10" i="2"/>
  <c r="O13" i="2"/>
  <c r="D13" i="2"/>
  <c r="C14" i="2"/>
  <c r="Z62" i="2"/>
  <c r="Z63" i="2" s="1"/>
  <c r="N62" i="2"/>
  <c r="N63" i="2" s="1"/>
  <c r="J21" i="2"/>
  <c r="S37" i="2"/>
  <c r="U57" i="2"/>
  <c r="V57" i="2" s="1"/>
  <c r="D10" i="2"/>
  <c r="AB10" i="2"/>
  <c r="E13" i="2"/>
  <c r="E14" i="2" s="1"/>
  <c r="U13" i="2"/>
  <c r="D19" i="2"/>
  <c r="D20" i="2"/>
  <c r="V21" i="2"/>
  <c r="J24" i="2"/>
  <c r="H25" i="2"/>
  <c r="H38" i="2" s="1"/>
  <c r="H61" i="2" s="1"/>
  <c r="H62" i="2" s="1"/>
  <c r="H63" i="2" s="1"/>
  <c r="Y33" i="2"/>
  <c r="V35" i="2"/>
  <c r="O38" i="2"/>
  <c r="D48" i="2"/>
  <c r="V49" i="2"/>
  <c r="F37" i="2"/>
  <c r="G37" i="2" s="1"/>
  <c r="G9" i="2"/>
  <c r="F10" i="2"/>
  <c r="AD10" i="2"/>
  <c r="AE10" i="2" s="1"/>
  <c r="AC11" i="2"/>
  <c r="AE11" i="2" s="1"/>
  <c r="AB19" i="2"/>
  <c r="Y31" i="2"/>
  <c r="S33" i="2"/>
  <c r="AC33" i="2"/>
  <c r="AD43" i="2"/>
  <c r="AE43" i="2" s="1"/>
  <c r="AD48" i="2"/>
  <c r="AE48" i="2" s="1"/>
  <c r="P49" i="2"/>
  <c r="AD54" i="2"/>
  <c r="AE54" i="2" s="1"/>
  <c r="J56" i="2"/>
  <c r="L57" i="2"/>
  <c r="M57" i="2" s="1"/>
  <c r="D60" i="2"/>
  <c r="J19" i="2"/>
  <c r="AC19" i="2"/>
  <c r="J23" i="2"/>
  <c r="D28" i="2"/>
  <c r="B31" i="2"/>
  <c r="AC31" i="2" s="1"/>
  <c r="AD33" i="2"/>
  <c r="AD34" i="2"/>
  <c r="AE34" i="2" s="1"/>
  <c r="R38" i="2"/>
  <c r="D42" i="2"/>
  <c r="D45" i="2"/>
  <c r="Y49" i="2"/>
  <c r="E57" i="2"/>
  <c r="G57" i="2" s="1"/>
  <c r="AD19" i="2"/>
  <c r="AE19" i="2" s="1"/>
  <c r="C31" i="2"/>
  <c r="I37" i="2"/>
  <c r="J37" i="2" s="1"/>
  <c r="R13" i="2"/>
  <c r="J22" i="2"/>
  <c r="AD25" i="2"/>
  <c r="C37" i="2"/>
  <c r="AD56" i="2"/>
  <c r="AE56" i="2" s="1"/>
  <c r="B7" i="5"/>
  <c r="I45" i="4"/>
  <c r="H45" i="4"/>
  <c r="G45" i="4"/>
  <c r="F45" i="4"/>
  <c r="E45" i="4"/>
  <c r="C45" i="4"/>
  <c r="B45" i="4"/>
  <c r="J45" i="4" s="1"/>
  <c r="J44" i="4"/>
  <c r="D44" i="4"/>
  <c r="D45" i="4" s="1"/>
  <c r="J43" i="4"/>
  <c r="E42" i="4"/>
  <c r="B42" i="4"/>
  <c r="I41" i="4"/>
  <c r="H41" i="4"/>
  <c r="H42" i="4" s="1"/>
  <c r="F41" i="4"/>
  <c r="F42" i="4" s="1"/>
  <c r="E41" i="4"/>
  <c r="D41" i="4"/>
  <c r="D42" i="4" s="1"/>
  <c r="C41" i="4"/>
  <c r="C42" i="4" s="1"/>
  <c r="B41" i="4"/>
  <c r="G40" i="4"/>
  <c r="J40" i="4" s="1"/>
  <c r="G39" i="4"/>
  <c r="G41" i="4" s="1"/>
  <c r="G42" i="4" s="1"/>
  <c r="J38" i="4"/>
  <c r="I37" i="4"/>
  <c r="I42" i="4" s="1"/>
  <c r="J36" i="4"/>
  <c r="I35" i="4"/>
  <c r="G35" i="4"/>
  <c r="E35" i="4"/>
  <c r="D35" i="4"/>
  <c r="C35" i="4"/>
  <c r="B35" i="4"/>
  <c r="H34" i="4"/>
  <c r="J34" i="4" s="1"/>
  <c r="J33" i="4"/>
  <c r="F33" i="4"/>
  <c r="F35" i="4" s="1"/>
  <c r="J32" i="4"/>
  <c r="I30" i="4"/>
  <c r="F30" i="4"/>
  <c r="E30" i="4"/>
  <c r="C30" i="4"/>
  <c r="H29" i="4"/>
  <c r="G29" i="4"/>
  <c r="G30" i="4" s="1"/>
  <c r="F29" i="4"/>
  <c r="D29" i="4"/>
  <c r="C29" i="4"/>
  <c r="B29" i="4"/>
  <c r="J29" i="4" s="1"/>
  <c r="H28" i="4"/>
  <c r="H30" i="4" s="1"/>
  <c r="G28" i="4"/>
  <c r="F28" i="4"/>
  <c r="D28" i="4"/>
  <c r="D30" i="4" s="1"/>
  <c r="C28" i="4"/>
  <c r="B28" i="4"/>
  <c r="B30" i="4" s="1"/>
  <c r="J27" i="4"/>
  <c r="I26" i="4"/>
  <c r="H26" i="4"/>
  <c r="G26" i="4"/>
  <c r="F26" i="4"/>
  <c r="E26" i="4"/>
  <c r="D26" i="4"/>
  <c r="C26" i="4"/>
  <c r="C31" i="4" s="1"/>
  <c r="C46" i="4" s="1"/>
  <c r="J25" i="4"/>
  <c r="B25" i="4"/>
  <c r="B24" i="4"/>
  <c r="B26" i="4" s="1"/>
  <c r="J23" i="4"/>
  <c r="I22" i="4"/>
  <c r="H22" i="4"/>
  <c r="G22" i="4"/>
  <c r="F22" i="4"/>
  <c r="E22" i="4"/>
  <c r="D22" i="4"/>
  <c r="C22" i="4"/>
  <c r="B22" i="4"/>
  <c r="J22" i="4" s="1"/>
  <c r="J21" i="4"/>
  <c r="D21" i="4"/>
  <c r="J20" i="4"/>
  <c r="H19" i="4"/>
  <c r="G19" i="4"/>
  <c r="F19" i="4"/>
  <c r="F31" i="4" s="1"/>
  <c r="E19" i="4"/>
  <c r="E31" i="4" s="1"/>
  <c r="E46" i="4" s="1"/>
  <c r="D19" i="4"/>
  <c r="C19" i="4"/>
  <c r="B19" i="4"/>
  <c r="J19" i="4" s="1"/>
  <c r="I18" i="4"/>
  <c r="J18" i="4" s="1"/>
  <c r="I17" i="4"/>
  <c r="I19" i="4" s="1"/>
  <c r="I31" i="4" s="1"/>
  <c r="J16" i="4"/>
  <c r="J15" i="4"/>
  <c r="E12" i="4"/>
  <c r="E13" i="4" s="1"/>
  <c r="H11" i="4"/>
  <c r="H12" i="4" s="1"/>
  <c r="H13" i="4" s="1"/>
  <c r="G11" i="4"/>
  <c r="F11" i="4"/>
  <c r="F12" i="4" s="1"/>
  <c r="F13" i="4" s="1"/>
  <c r="D11" i="4"/>
  <c r="J11" i="4" s="1"/>
  <c r="C11" i="4"/>
  <c r="B11" i="4"/>
  <c r="E10" i="4"/>
  <c r="J10" i="4" s="1"/>
  <c r="H9" i="4"/>
  <c r="G9" i="4"/>
  <c r="G12" i="4" s="1"/>
  <c r="G13" i="4" s="1"/>
  <c r="F9" i="4"/>
  <c r="E9" i="4"/>
  <c r="D9" i="4"/>
  <c r="D12" i="4" s="1"/>
  <c r="D13" i="4" s="1"/>
  <c r="C9" i="4"/>
  <c r="C12" i="4" s="1"/>
  <c r="C13" i="4" s="1"/>
  <c r="C47" i="4" s="1"/>
  <c r="C48" i="4" s="1"/>
  <c r="B9" i="4"/>
  <c r="I8" i="4"/>
  <c r="I9" i="4" s="1"/>
  <c r="I12" i="4" s="1"/>
  <c r="I13" i="4" s="1"/>
  <c r="J7" i="4"/>
  <c r="B44" i="3"/>
  <c r="B45" i="3" s="1"/>
  <c r="B41" i="3"/>
  <c r="B42" i="3" s="1"/>
  <c r="B40" i="3"/>
  <c r="B39" i="3"/>
  <c r="B37" i="3"/>
  <c r="B34" i="3"/>
  <c r="B35" i="3" s="1"/>
  <c r="B33" i="3"/>
  <c r="B30" i="3"/>
  <c r="B29" i="3"/>
  <c r="B28" i="3"/>
  <c r="B26" i="3"/>
  <c r="B25" i="3"/>
  <c r="B24" i="3"/>
  <c r="B21" i="3"/>
  <c r="B22" i="3" s="1"/>
  <c r="B19" i="3"/>
  <c r="B31" i="3" s="1"/>
  <c r="B46" i="3" s="1"/>
  <c r="B18" i="3"/>
  <c r="B17" i="3"/>
  <c r="B11" i="3"/>
  <c r="B10" i="3"/>
  <c r="B8" i="3"/>
  <c r="B9" i="3" s="1"/>
  <c r="B12" i="3" s="1"/>
  <c r="B13" i="3" s="1"/>
  <c r="C14" i="7" l="1"/>
  <c r="D13" i="7"/>
  <c r="I63" i="7"/>
  <c r="J63" i="7" s="1"/>
  <c r="J40" i="7"/>
  <c r="Y14" i="7"/>
  <c r="AD58" i="7"/>
  <c r="AE58" i="7" s="1"/>
  <c r="AC14" i="7"/>
  <c r="X40" i="7"/>
  <c r="AE51" i="7"/>
  <c r="S14" i="7"/>
  <c r="R64" i="7"/>
  <c r="B40" i="7"/>
  <c r="U59" i="7"/>
  <c r="L64" i="7"/>
  <c r="M14" i="7"/>
  <c r="AA63" i="7"/>
  <c r="V13" i="7"/>
  <c r="U14" i="7"/>
  <c r="AD62" i="7"/>
  <c r="AE62" i="7" s="1"/>
  <c r="D62" i="7"/>
  <c r="AE44" i="7"/>
  <c r="D39" i="7"/>
  <c r="D59" i="7"/>
  <c r="C63" i="7"/>
  <c r="AD40" i="7"/>
  <c r="AD39" i="7"/>
  <c r="AE39" i="7" s="1"/>
  <c r="AD47" i="7"/>
  <c r="AE47" i="7" s="1"/>
  <c r="P13" i="7"/>
  <c r="O14" i="7"/>
  <c r="J14" i="7"/>
  <c r="I64" i="7"/>
  <c r="G10" i="7"/>
  <c r="F13" i="7"/>
  <c r="F63" i="7"/>
  <c r="G63" i="7" s="1"/>
  <c r="G10" i="2"/>
  <c r="F13" i="2"/>
  <c r="J14" i="2"/>
  <c r="AE25" i="2"/>
  <c r="C62" i="2"/>
  <c r="D14" i="2"/>
  <c r="B38" i="2"/>
  <c r="C61" i="2"/>
  <c r="D38" i="2"/>
  <c r="S13" i="2"/>
  <c r="R14" i="2"/>
  <c r="R61" i="2"/>
  <c r="S61" i="2" s="1"/>
  <c r="S38" i="2"/>
  <c r="AC25" i="2"/>
  <c r="P13" i="2"/>
  <c r="O14" i="2"/>
  <c r="U61" i="2"/>
  <c r="V61" i="2" s="1"/>
  <c r="AD57" i="2"/>
  <c r="AE57" i="2" s="1"/>
  <c r="D57" i="2"/>
  <c r="D37" i="2"/>
  <c r="AD37" i="2"/>
  <c r="AE37" i="2" s="1"/>
  <c r="AC57" i="2"/>
  <c r="E61" i="2"/>
  <c r="I38" i="2"/>
  <c r="AC13" i="2"/>
  <c r="L62" i="2"/>
  <c r="M14" i="2"/>
  <c r="AD31" i="2"/>
  <c r="AE31" i="2" s="1"/>
  <c r="D31" i="2"/>
  <c r="AE33" i="2"/>
  <c r="O61" i="2"/>
  <c r="P61" i="2" s="1"/>
  <c r="P38" i="2"/>
  <c r="V13" i="2"/>
  <c r="U14" i="2"/>
  <c r="AC14" i="2"/>
  <c r="Y38" i="2"/>
  <c r="AA62" i="2"/>
  <c r="AB14" i="2"/>
  <c r="X62" i="2"/>
  <c r="Y14" i="2"/>
  <c r="E62" i="2"/>
  <c r="E63" i="2" s="1"/>
  <c r="J25" i="2"/>
  <c r="F38" i="2"/>
  <c r="Y61" i="2"/>
  <c r="D31" i="4"/>
  <c r="D46" i="4" s="1"/>
  <c r="D47" i="4" s="1"/>
  <c r="D48" i="4" s="1"/>
  <c r="E47" i="4"/>
  <c r="E48" i="4" s="1"/>
  <c r="J26" i="4"/>
  <c r="B31" i="4"/>
  <c r="I47" i="4"/>
  <c r="I48" i="4" s="1"/>
  <c r="J9" i="4"/>
  <c r="G31" i="4"/>
  <c r="G46" i="4" s="1"/>
  <c r="G47" i="4" s="1"/>
  <c r="G48" i="4" s="1"/>
  <c r="J41" i="4"/>
  <c r="I46" i="4"/>
  <c r="H31" i="4"/>
  <c r="J30" i="4"/>
  <c r="J42" i="4"/>
  <c r="F46" i="4"/>
  <c r="F47" i="4" s="1"/>
  <c r="F48" i="4" s="1"/>
  <c r="J37" i="4"/>
  <c r="J8" i="4"/>
  <c r="J17" i="4"/>
  <c r="J24" i="4"/>
  <c r="H35" i="4"/>
  <c r="J35" i="4" s="1"/>
  <c r="J39" i="4"/>
  <c r="B12" i="4"/>
  <c r="J28" i="4"/>
  <c r="B47" i="3"/>
  <c r="B48" i="3" s="1"/>
  <c r="B39" i="1"/>
  <c r="B38" i="1"/>
  <c r="B37" i="1"/>
  <c r="B40" i="1" s="1"/>
  <c r="B32" i="1"/>
  <c r="B33" i="1" s="1"/>
  <c r="B29" i="1"/>
  <c r="B30" i="1" s="1"/>
  <c r="B26" i="1"/>
  <c r="B27" i="1" s="1"/>
  <c r="B17" i="1"/>
  <c r="B18" i="1" s="1"/>
  <c r="B15" i="1"/>
  <c r="B14" i="1"/>
  <c r="B12" i="1"/>
  <c r="B11" i="1"/>
  <c r="B10" i="1"/>
  <c r="B9" i="1"/>
  <c r="V59" i="7" l="1"/>
  <c r="U63" i="7"/>
  <c r="V63" i="7" s="1"/>
  <c r="B63" i="7"/>
  <c r="AC40" i="7"/>
  <c r="AE40" i="7" s="1"/>
  <c r="G13" i="7"/>
  <c r="F14" i="7"/>
  <c r="D40" i="7"/>
  <c r="S64" i="7"/>
  <c r="R65" i="7"/>
  <c r="S65" i="7" s="1"/>
  <c r="J64" i="7"/>
  <c r="I65" i="7"/>
  <c r="J65" i="7" s="1"/>
  <c r="AD63" i="7"/>
  <c r="D63" i="7"/>
  <c r="U64" i="7"/>
  <c r="V14" i="7"/>
  <c r="AB63" i="7"/>
  <c r="AA64" i="7"/>
  <c r="Y40" i="7"/>
  <c r="X63" i="7"/>
  <c r="P14" i="7"/>
  <c r="O64" i="7"/>
  <c r="AD59" i="7"/>
  <c r="AE59" i="7" s="1"/>
  <c r="AD13" i="7"/>
  <c r="AE13" i="7" s="1"/>
  <c r="M64" i="7"/>
  <c r="L65" i="7"/>
  <c r="M65" i="7" s="1"/>
  <c r="D14" i="7"/>
  <c r="C64" i="7"/>
  <c r="AD14" i="7"/>
  <c r="AE14" i="7" s="1"/>
  <c r="C63" i="2"/>
  <c r="F61" i="2"/>
  <c r="G61" i="2" s="1"/>
  <c r="G38" i="2"/>
  <c r="R62" i="2"/>
  <c r="S14" i="2"/>
  <c r="U62" i="2"/>
  <c r="V14" i="2"/>
  <c r="Y62" i="2"/>
  <c r="X63" i="2"/>
  <c r="Y63" i="2" s="1"/>
  <c r="I61" i="2"/>
  <c r="J38" i="2"/>
  <c r="P14" i="2"/>
  <c r="O62" i="2"/>
  <c r="AD38" i="2"/>
  <c r="AE38" i="2" s="1"/>
  <c r="M62" i="2"/>
  <c r="L63" i="2"/>
  <c r="M63" i="2" s="1"/>
  <c r="D61" i="2"/>
  <c r="F14" i="2"/>
  <c r="G13" i="2"/>
  <c r="AD13" i="2"/>
  <c r="AE13" i="2" s="1"/>
  <c r="AB62" i="2"/>
  <c r="AA63" i="2"/>
  <c r="AB63" i="2" s="1"/>
  <c r="B61" i="2"/>
  <c r="AC38" i="2"/>
  <c r="H46" i="4"/>
  <c r="H47" i="4" s="1"/>
  <c r="H48" i="4" s="1"/>
  <c r="B46" i="4"/>
  <c r="J31" i="4"/>
  <c r="B13" i="4"/>
  <c r="J12" i="4"/>
  <c r="B34" i="1"/>
  <c r="B35" i="1" s="1"/>
  <c r="B41" i="1" s="1"/>
  <c r="B19" i="1"/>
  <c r="B20" i="1" s="1"/>
  <c r="B21" i="1" s="1"/>
  <c r="O65" i="7" l="1"/>
  <c r="P65" i="7" s="1"/>
  <c r="P64" i="7"/>
  <c r="U65" i="7"/>
  <c r="V65" i="7" s="1"/>
  <c r="V64" i="7"/>
  <c r="F64" i="7"/>
  <c r="AD64" i="7" s="1"/>
  <c r="G14" i="7"/>
  <c r="AC63" i="7"/>
  <c r="AE63" i="7" s="1"/>
  <c r="B64" i="7"/>
  <c r="C65" i="7"/>
  <c r="Y63" i="7"/>
  <c r="X64" i="7"/>
  <c r="AB64" i="7"/>
  <c r="AA65" i="7"/>
  <c r="AB65" i="7" s="1"/>
  <c r="U63" i="2"/>
  <c r="V63" i="2" s="1"/>
  <c r="V62" i="2"/>
  <c r="O63" i="2"/>
  <c r="P63" i="2" s="1"/>
  <c r="P62" i="2"/>
  <c r="S62" i="2"/>
  <c r="R63" i="2"/>
  <c r="S63" i="2" s="1"/>
  <c r="J61" i="2"/>
  <c r="I62" i="2"/>
  <c r="AC61" i="2"/>
  <c r="B62" i="2"/>
  <c r="F62" i="2"/>
  <c r="G14" i="2"/>
  <c r="AD14" i="2"/>
  <c r="AE14" i="2" s="1"/>
  <c r="AD61" i="2"/>
  <c r="AE61" i="2" s="1"/>
  <c r="B47" i="4"/>
  <c r="J13" i="4"/>
  <c r="J46" i="4"/>
  <c r="AE64" i="7" l="1"/>
  <c r="Y64" i="7"/>
  <c r="X65" i="7"/>
  <c r="Y65" i="7" s="1"/>
  <c r="AC64" i="7"/>
  <c r="B65" i="7"/>
  <c r="AC65" i="7" s="1"/>
  <c r="F65" i="7"/>
  <c r="G65" i="7" s="1"/>
  <c r="G64" i="7"/>
  <c r="D64" i="7"/>
  <c r="J62" i="2"/>
  <c r="I63" i="2"/>
  <c r="J63" i="2" s="1"/>
  <c r="F63" i="2"/>
  <c r="G62" i="2"/>
  <c r="AD62" i="2"/>
  <c r="AC62" i="2"/>
  <c r="B63" i="2"/>
  <c r="D62" i="2"/>
  <c r="B48" i="4"/>
  <c r="J48" i="4" s="1"/>
  <c r="J47" i="4"/>
  <c r="D65" i="7" l="1"/>
  <c r="AD65" i="7"/>
  <c r="AE65" i="7" s="1"/>
  <c r="AC63" i="2"/>
  <c r="D63" i="2"/>
  <c r="AE62" i="2"/>
  <c r="G63" i="2"/>
  <c r="AD63" i="2"/>
  <c r="AE63" i="2" l="1"/>
</calcChain>
</file>

<file path=xl/sharedStrings.xml><?xml version="1.0" encoding="utf-8"?>
<sst xmlns="http://schemas.openxmlformats.org/spreadsheetml/2006/main" count="599" uniqueCount="235">
  <si>
    <t>Total</t>
  </si>
  <si>
    <t>ASSETS</t>
  </si>
  <si>
    <t xml:space="preserve">   Current Assets</t>
  </si>
  <si>
    <t xml:space="preserve">      Bank Accounts</t>
  </si>
  <si>
    <t xml:space="preserve">         100 SAFE CU Checking 9510</t>
  </si>
  <si>
    <t xml:space="preserve">         102 Safe CU Money Market</t>
  </si>
  <si>
    <t xml:space="preserve">         103 SAFE CU Savings</t>
  </si>
  <si>
    <t xml:space="preserve">      Total Bank Accounts</t>
  </si>
  <si>
    <t xml:space="preserve">      Other Current Assets</t>
  </si>
  <si>
    <t xml:space="preserve">         110 Inventory Assets</t>
  </si>
  <si>
    <t xml:space="preserve">         120 Undeposited Funds</t>
  </si>
  <si>
    <t xml:space="preserve">         Restricted Assets</t>
  </si>
  <si>
    <t xml:space="preserve">            Contingency</t>
  </si>
  <si>
    <t xml:space="preserve">         Total Restricted Assets</t>
  </si>
  <si>
    <t xml:space="preserve">      Total Other Current Assets</t>
  </si>
  <si>
    <t xml:space="preserve">   Total Current Assets</t>
  </si>
  <si>
    <t>TOTAL ASSETS</t>
  </si>
  <si>
    <t>LIABILITIES AND EQUITY</t>
  </si>
  <si>
    <t xml:space="preserve">   Liabilities</t>
  </si>
  <si>
    <t xml:space="preserve">      Current Liabilities</t>
  </si>
  <si>
    <t xml:space="preserve">         Accounts Payable</t>
  </si>
  <si>
    <t xml:space="preserve">            Accounts Payable (A/P)</t>
  </si>
  <si>
    <t xml:space="preserve">         Total Accounts Payable</t>
  </si>
  <si>
    <t xml:space="preserve">         Credit Cards</t>
  </si>
  <si>
    <t xml:space="preserve">            201 VISA- JW</t>
  </si>
  <si>
    <t xml:space="preserve">         Total Credit Cards</t>
  </si>
  <si>
    <t xml:space="preserve">         Other Current Liabilities</t>
  </si>
  <si>
    <t xml:space="preserve">            Deferred Revenue</t>
  </si>
  <si>
    <t xml:space="preserve">         Total Other Current Liabilities</t>
  </si>
  <si>
    <t xml:space="preserve">      Total Current Liabilities</t>
  </si>
  <si>
    <t xml:space="preserve">   Total Liabilities</t>
  </si>
  <si>
    <t xml:space="preserve">   Equity</t>
  </si>
  <si>
    <t xml:space="preserve">      300 Opening Balance Equity</t>
  </si>
  <si>
    <t xml:space="preserve">      303 Retained Earnings</t>
  </si>
  <si>
    <t xml:space="preserve">      Net Revenue</t>
  </si>
  <si>
    <t xml:space="preserve">   Total Equity</t>
  </si>
  <si>
    <t>TOTAL LIABILITIES AND EQUITY</t>
  </si>
  <si>
    <t>Monday, Nov 10, 2025 03:22:33 PM GMT-8 - Accrual Basis</t>
  </si>
  <si>
    <t>80Watt PBID</t>
  </si>
  <si>
    <t>Statement of Financial Position</t>
  </si>
  <si>
    <t>As of October 31, 2025</t>
  </si>
  <si>
    <t>Budget vs. Actuals: Budget_FY25_P&amp;L - FY25 P&amp;L  Classes</t>
  </si>
  <si>
    <t>October 2025</t>
  </si>
  <si>
    <t>Admin</t>
  </si>
  <si>
    <t>Capital Improvements</t>
  </si>
  <si>
    <t>Contingency</t>
  </si>
  <si>
    <t>General Fund</t>
  </si>
  <si>
    <t>Grant</t>
  </si>
  <si>
    <t>Maintenance</t>
  </si>
  <si>
    <t>Marketing</t>
  </si>
  <si>
    <t>Security</t>
  </si>
  <si>
    <t>Not Specified</t>
  </si>
  <si>
    <t>TOTAL</t>
  </si>
  <si>
    <t>Actual</t>
  </si>
  <si>
    <t>Budget</t>
  </si>
  <si>
    <t>Remaining</t>
  </si>
  <si>
    <t>Revenue</t>
  </si>
  <si>
    <t xml:space="preserve">   400 Contributions</t>
  </si>
  <si>
    <t xml:space="preserve">      400.1 Awards / Grants</t>
  </si>
  <si>
    <t xml:space="preserve">   Total 400 Contributions</t>
  </si>
  <si>
    <t xml:space="preserve">   401 Dividend from Money Market</t>
  </si>
  <si>
    <t xml:space="preserve">   405 PBID Assessment</t>
  </si>
  <si>
    <t>Total Revenue</t>
  </si>
  <si>
    <t>Gross Profit</t>
  </si>
  <si>
    <t>Expenditures</t>
  </si>
  <si>
    <t xml:space="preserve">   600 Administration</t>
  </si>
  <si>
    <t xml:space="preserve">      601 Insurance Expense</t>
  </si>
  <si>
    <t xml:space="preserve">      603 Meetings/Activities</t>
  </si>
  <si>
    <t xml:space="preserve">         603.1 Board Meeting Lunches</t>
  </si>
  <si>
    <t xml:space="preserve">         603.3 Meeting Food/Parking</t>
  </si>
  <si>
    <t xml:space="preserve">      Total 603 Meetings/Activities</t>
  </si>
  <si>
    <t xml:space="preserve">      604 Legal/Accounting</t>
  </si>
  <si>
    <t xml:space="preserve">         604.1 Accounting</t>
  </si>
  <si>
    <t xml:space="preserve">         604.3 Legal</t>
  </si>
  <si>
    <t xml:space="preserve">      Total 604 Legal/Accounting</t>
  </si>
  <si>
    <t xml:space="preserve">      605 Office Expenses</t>
  </si>
  <si>
    <t xml:space="preserve">         605.2 Mailing Costs</t>
  </si>
  <si>
    <t xml:space="preserve">         605.3 Subscription Fees</t>
  </si>
  <si>
    <t xml:space="preserve">         605.4 Cell Phone Expense</t>
  </si>
  <si>
    <t xml:space="preserve">         605.5 Office Supplies</t>
  </si>
  <si>
    <t xml:space="preserve">      Total 605 Office Expenses</t>
  </si>
  <si>
    <t xml:space="preserve">      700 Staff/ Executive</t>
  </si>
  <si>
    <t xml:space="preserve">         700.1 Exec Director Wages</t>
  </si>
  <si>
    <t xml:space="preserve">         700.3 Executive Employee Benefits</t>
  </si>
  <si>
    <t xml:space="preserve">         700.8 Travel Expense</t>
  </si>
  <si>
    <t xml:space="preserve">         700.9 Work Comp Insurance</t>
  </si>
  <si>
    <t xml:space="preserve">      Total 700 Staff/ Executive</t>
  </si>
  <si>
    <t xml:space="preserve">   Total 600 Administration</t>
  </si>
  <si>
    <t xml:space="preserve">   608 Outside Contractors</t>
  </si>
  <si>
    <t xml:space="preserve">      608.5 Maintenance</t>
  </si>
  <si>
    <t xml:space="preserve">      608.7 Security</t>
  </si>
  <si>
    <t xml:space="preserve">   Total 608 Outside Contractors</t>
  </si>
  <si>
    <t xml:space="preserve">   620 Capital Improvements</t>
  </si>
  <si>
    <t xml:space="preserve">      623 Grant Projects (TOT, CPTED)</t>
  </si>
  <si>
    <t xml:space="preserve">   Total 620 Capital Improvements</t>
  </si>
  <si>
    <t xml:space="preserve">   630 Marketing &amp; Advocacy</t>
  </si>
  <si>
    <t xml:space="preserve">      631  Advertising &amp; Promotion</t>
  </si>
  <si>
    <t xml:space="preserve">         631.1 printing/collateral supp</t>
  </si>
  <si>
    <t xml:space="preserve">      Total 631  Advertising &amp; Promotion</t>
  </si>
  <si>
    <t xml:space="preserve">      632 Annual Report</t>
  </si>
  <si>
    <t xml:space="preserve">      634 Street Banners</t>
  </si>
  <si>
    <t xml:space="preserve">      635 Mixers/Seminar/Webinar</t>
  </si>
  <si>
    <t xml:space="preserve">      638 Website</t>
  </si>
  <si>
    <t xml:space="preserve">         638.1 Web Site Hosting</t>
  </si>
  <si>
    <t xml:space="preserve">         638.2 Website maint/upgrade</t>
  </si>
  <si>
    <t xml:space="preserve">      Total 638 Website</t>
  </si>
  <si>
    <t xml:space="preserve">   Total 630 Marketing &amp; Advocacy</t>
  </si>
  <si>
    <t xml:space="preserve">   650 Contingency &amp; Renewal</t>
  </si>
  <si>
    <t xml:space="preserve">      703 PBID support</t>
  </si>
  <si>
    <t xml:space="preserve">   Total 650 Contingency &amp; Renewal</t>
  </si>
  <si>
    <t>Total Expenditures</t>
  </si>
  <si>
    <t>Net Operating Revenue</t>
  </si>
  <si>
    <t>Net Revenue</t>
  </si>
  <si>
    <t>Statement of Activity</t>
  </si>
  <si>
    <t>Monday, Nov 10, 2025 04:28:42 PM GMT-8 - Accrual Basis</t>
  </si>
  <si>
    <t>Statement of Activity by Class</t>
  </si>
  <si>
    <t>Monday, Nov 10, 2025 04:30:09 PM GMT-8 - Accrual Basis</t>
  </si>
  <si>
    <t>Statement of Cash Flows</t>
  </si>
  <si>
    <t>OPERATING ACTIVITIES</t>
  </si>
  <si>
    <t xml:space="preserve">   Net Revenue</t>
  </si>
  <si>
    <t xml:space="preserve">   Adjustments to reconcile Net Revenue to Net Cash provided by operations:</t>
  </si>
  <si>
    <t xml:space="preserve">      Restricted Assets:Contingency</t>
  </si>
  <si>
    <t xml:space="preserve">      Accounts Payable (A/P)</t>
  </si>
  <si>
    <t xml:space="preserve">      201 VISA- JW</t>
  </si>
  <si>
    <t xml:space="preserve">      Deferred Revenue</t>
  </si>
  <si>
    <t xml:space="preserve">   Total Adjustments to reconcile Net Revenue to Net Cash provided by operations:</t>
  </si>
  <si>
    <t>Net cash provided by operating activities</t>
  </si>
  <si>
    <t>Net cash increase for period</t>
  </si>
  <si>
    <t>Cash at beginning of period</t>
  </si>
  <si>
    <t>Cash at end of period</t>
  </si>
  <si>
    <t>Monday, Nov 10, 2025 04:33:18 PM GMT-8</t>
  </si>
  <si>
    <t>Transaction List by Date</t>
  </si>
  <si>
    <t>Date</t>
  </si>
  <si>
    <t>Transaction Type</t>
  </si>
  <si>
    <t>Num</t>
  </si>
  <si>
    <t>Posting</t>
  </si>
  <si>
    <t>Name</t>
  </si>
  <si>
    <t>Memo/Description</t>
  </si>
  <si>
    <t>Account</t>
  </si>
  <si>
    <t>Split</t>
  </si>
  <si>
    <t>Amount</t>
  </si>
  <si>
    <t>10/01/2025</t>
  </si>
  <si>
    <t>Bill</t>
  </si>
  <si>
    <t>Yes</t>
  </si>
  <si>
    <t>Trident Security Operations</t>
  </si>
  <si>
    <t>Accounts Payable (A/P)</t>
  </si>
  <si>
    <t>608 Outside Contractors:608.7 Security</t>
  </si>
  <si>
    <t>Olympic Cleaning</t>
  </si>
  <si>
    <t>608 Outside Contractors:608.5 Maintenance</t>
  </si>
  <si>
    <t>Journal Entry</t>
  </si>
  <si>
    <t>27 - LC</t>
  </si>
  <si>
    <t>-Split-</t>
  </si>
  <si>
    <t>Expenditure</t>
  </si>
  <si>
    <t>External Withdrawal OLYMPIC CLEANING - ONLINE PMT</t>
  </si>
  <si>
    <t>100 SAFE CU Checking 9510</t>
  </si>
  <si>
    <t>10/02/2025</t>
  </si>
  <si>
    <t>Gusto</t>
  </si>
  <si>
    <t>External Withdrawal GUSTO 6semjnkmjtd - FEE 135405 6semk62nbek</t>
  </si>
  <si>
    <t>Costco</t>
  </si>
  <si>
    <t>Purchase COSTCO *ANNUAL REN 800-774-2678, WA (1505)</t>
  </si>
  <si>
    <t>201 VISA- JW</t>
  </si>
  <si>
    <t>600 Administration:605 Office Expenses:605.3 Subscription Fees</t>
  </si>
  <si>
    <t>Wal-Mart</t>
  </si>
  <si>
    <t>Purchase WM SUPERCENTER #37 CITRUS HEIGHT, CA (1505)</t>
  </si>
  <si>
    <t>630 Marketing &amp; Advocacy:635 Mixers/Seminar/Webinar</t>
  </si>
  <si>
    <t>Purchase SP CONVENIENCE AND SACRAMENTO, CA (1505)</t>
  </si>
  <si>
    <t>600 Administration:603 Meetings/Activities:603.1 Board Meeting Lunches</t>
  </si>
  <si>
    <t>10/06/2025</t>
  </si>
  <si>
    <t>Intuit</t>
  </si>
  <si>
    <t>Quickbooks</t>
  </si>
  <si>
    <t>Google</t>
  </si>
  <si>
    <t>Google Work Space</t>
  </si>
  <si>
    <t>10/07/2025</t>
  </si>
  <si>
    <t>Zoom Communications</t>
  </si>
  <si>
    <t>10/08/2025</t>
  </si>
  <si>
    <t>Credit Card Payment</t>
  </si>
  <si>
    <t>Payment Principal $207.37; Interest $0.00; Fees $0.00</t>
  </si>
  <si>
    <t>10/09/2025</t>
  </si>
  <si>
    <t>Purchase WAL-MART #5981 CARMICHAEL, CA (1505)</t>
  </si>
  <si>
    <t>Deposit</t>
  </si>
  <si>
    <t>External Deposit THE HARTFORD 713 BI AUTO ACH REIM - INSRFDCL 17133409</t>
  </si>
  <si>
    <t>400 Contributions:400.1 Awards / Grants</t>
  </si>
  <si>
    <t>10/14/2025</t>
  </si>
  <si>
    <t>External Withdrawal GUSTO 6SEMJNL38F7 - NET 549671 6semk66cjom</t>
  </si>
  <si>
    <t>External Withdrawal GUSTO 6SEMJNL3889 - TAX 549449 6semk66cjon</t>
  </si>
  <si>
    <t>External Withdrawal GUSTO 6SEMJNL38NV - REM 549951 6semk66cjoo</t>
  </si>
  <si>
    <t>10/16/2025</t>
  </si>
  <si>
    <t>Leta Christie Db</t>
  </si>
  <si>
    <t>External Withdrawal LETA CHRISTIE DB - ONLINE PMT</t>
  </si>
  <si>
    <t>600 Administration:604 Legal/Accounting:604.1 Accounting</t>
  </si>
  <si>
    <t>Check</t>
  </si>
  <si>
    <t>Web Active LLC Website Host</t>
  </si>
  <si>
    <t>Check 995529</t>
  </si>
  <si>
    <t>630 Marketing &amp; Advocacy:638 Website:638.1 Web Site Hosting</t>
  </si>
  <si>
    <t>10/17/2025</t>
  </si>
  <si>
    <t>T-Mobile</t>
  </si>
  <si>
    <t>External Withdrawal T-MOBILE 800-937-8997 - PCS SVC</t>
  </si>
  <si>
    <t>600 Administration:605 Office Expenses:605.4 Cell Phone Expense</t>
  </si>
  <si>
    <t>10/18/2025</t>
  </si>
  <si>
    <t>Chipotle</t>
  </si>
  <si>
    <t>Lunch Meeting. Purchase CHIPOTLE 5473 NORTH HIGHLAN, CA (1505)</t>
  </si>
  <si>
    <t>600 Administration:603 Meetings/Activities:603.3 Meeting Food/Parking</t>
  </si>
  <si>
    <t>10/21/2025</t>
  </si>
  <si>
    <t>Purchase WEBACTIVE WEBACTIVE.IO, CO (1505)</t>
  </si>
  <si>
    <t>630 Marketing &amp; Advocacy:638 Website:638.2 Website maint/upgrade</t>
  </si>
  <si>
    <t>Cal Choice Benefits</t>
  </si>
  <si>
    <t>External Withdrawal CHOICE ADMIN EPAYMENT - ONLIN PMNT</t>
  </si>
  <si>
    <t>10/23/2025</t>
  </si>
  <si>
    <t>PBID Manager</t>
  </si>
  <si>
    <t>Credit Card Debit Purchase : PBID MANAGER</t>
  </si>
  <si>
    <t>650 Contingency &amp; Renewal:703 PBID support</t>
  </si>
  <si>
    <t>BOD Meeting Lunch Purchase COSTCO WHSE #0771 CITRUS HEIGHT, CA (1505)</t>
  </si>
  <si>
    <t>10/28/2025</t>
  </si>
  <si>
    <t>Dropbox</t>
  </si>
  <si>
    <t>Purchase Dropbox WCG55V229N 141-58576933, CA (1505)</t>
  </si>
  <si>
    <t>10/29/2025</t>
  </si>
  <si>
    <t>Transfer</t>
  </si>
  <si>
    <t>Withdrawal INTERNET TRANSFER TO : XXXX9510</t>
  </si>
  <si>
    <t>102 Safe CU Money Market</t>
  </si>
  <si>
    <t>10/30/2025</t>
  </si>
  <si>
    <t>Amazon</t>
  </si>
  <si>
    <t>Purchase AMAZON RETA* NK3X1 WWW.AMAZON.CO, WA (1505)</t>
  </si>
  <si>
    <t>Restricted Assets:Contingency</t>
  </si>
  <si>
    <t>External Withdrawal GUSTO 6SEMJNLLI97 - NET 149543 6semk6c832f</t>
  </si>
  <si>
    <t>External Withdrawal GUSTO 6SEMJNLLHMD - TAX 148941 6semk6c832g</t>
  </si>
  <si>
    <t>External Withdrawal GUSTO 6SEMJNLLI70 - REM 149472 6semk6c832h</t>
  </si>
  <si>
    <t>10/31/2025</t>
  </si>
  <si>
    <t>Dividend</t>
  </si>
  <si>
    <t>401 Dividend from Money Market</t>
  </si>
  <si>
    <t>Monday, Nov 10, 2025 04:35:35 PM GMT-8</t>
  </si>
  <si>
    <t xml:space="preserve">         605.1 Computer &amp; Internet</t>
  </si>
  <si>
    <t xml:space="preserve">      607 Bank Service Charges</t>
  </si>
  <si>
    <t>Thursday, Nov 13, 2025 12:07:52 PM GMT-8 - Accrual Basis</t>
  </si>
  <si>
    <t>January 1 - November 13, 2025</t>
  </si>
  <si>
    <t>Thursday, Nov 13, 2025 12:09:49 PM GMT-8 - Accrual Basis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</si>
</sst>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\ _€"/>
    <numFmt numFmtId="165" formatCode="&quot;$&quot;* #,##0.00\ _€"/>
    <numFmt numFmtId="166" formatCode="#,##0.00;[Red]\-#,##0.00"/>
    <numFmt numFmtId="167" formatCode="&quot;$&quot;* \-#,##0.00;[Red]&quot;$&quot;* \-#,##0.00"/>
  </numFmts>
  <fonts count="6" x14ac:knownFonts="1">
    <font>
      <sz val="11"/>
      <color indexed="8"/>
      <name val="Aptos Narrow"/>
      <family val="2"/>
      <scheme val="minor"/>
    </font>
    <font>
      <b/>
      <sz val="9"/>
      <color indexed="8"/>
      <name val="Arial"/>
    </font>
    <font>
      <b/>
      <sz val="8"/>
      <color indexed="8"/>
      <name val="Arial"/>
    </font>
    <font>
      <sz val="8"/>
      <color indexed="8"/>
      <name val="Arial"/>
    </font>
    <font>
      <b/>
      <sz val="14"/>
      <color indexed="8"/>
      <name val="Arial"/>
    </font>
    <font>
      <b/>
      <sz val="10"/>
      <color indexed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wrapText="1"/>
    </xf>
    <xf numFmtId="0" fontId="2" fillId="0" borderId="0" xfId="0" applyFont="1" applyAlignment="1">
      <alignment horizontal="left" wrapText="1"/>
    </xf>
    <xf numFmtId="164" fontId="3" fillId="0" borderId="0" xfId="0" applyNumberFormat="1" applyFont="1" applyAlignment="1">
      <alignment wrapText="1"/>
    </xf>
    <xf numFmtId="164" fontId="3" fillId="0" borderId="0" xfId="0" applyNumberFormat="1" applyFont="1" applyAlignment="1">
      <alignment horizontal="right" wrapText="1"/>
    </xf>
    <xf numFmtId="165" fontId="2" fillId="0" borderId="2" xfId="0" applyNumberFormat="1" applyFont="1" applyBorder="1" applyAlignment="1">
      <alignment horizontal="right" wrapText="1"/>
    </xf>
    <xf numFmtId="165" fontId="2" fillId="0" borderId="3" xfId="0" applyNumberFormat="1" applyFont="1" applyBorder="1" applyAlignment="1">
      <alignment horizontal="right" wrapText="1"/>
    </xf>
    <xf numFmtId="166" fontId="3" fillId="0" borderId="0" xfId="0" applyNumberFormat="1" applyFont="1" applyAlignment="1">
      <alignment horizontal="right" wrapText="1"/>
    </xf>
    <xf numFmtId="167" fontId="2" fillId="0" borderId="3" xfId="0" applyNumberFormat="1" applyFont="1" applyBorder="1" applyAlignment="1">
      <alignment horizontal="right" wrapText="1"/>
    </xf>
    <xf numFmtId="0" fontId="3" fillId="0" borderId="0" xfId="0" applyFont="1" applyAlignment="1">
      <alignment horizontal="left" wrapText="1"/>
    </xf>
    <xf numFmtId="0" fontId="3" fillId="0" borderId="0" xfId="0" quotePrefix="1" applyFont="1" applyAlignment="1">
      <alignment horizontal="left" wrapText="1"/>
    </xf>
    <xf numFmtId="0" fontId="3" fillId="0" borderId="0" xfId="0" applyFont="1" applyAlignment="1">
      <alignment horizontal="right" wrapText="1"/>
    </xf>
    <xf numFmtId="0" fontId="3" fillId="0" borderId="0" xfId="0" applyFont="1" applyAlignment="1">
      <alignment horizontal="center"/>
    </xf>
    <xf numFmtId="0" fontId="0" fillId="0" borderId="0" xfId="0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45"/>
  <sheetViews>
    <sheetView topLeftCell="A9" workbookViewId="0">
      <selection sqref="A1:B1"/>
    </sheetView>
  </sheetViews>
  <sheetFormatPr defaultRowHeight="14.4" x14ac:dyDescent="0.3"/>
  <cols>
    <col min="1" max="1" width="35.21875" customWidth="1"/>
    <col min="2" max="2" width="27.44140625" customWidth="1"/>
  </cols>
  <sheetData>
    <row r="1" spans="1:2" ht="17.399999999999999" x14ac:dyDescent="0.3">
      <c r="A1" s="15" t="s">
        <v>38</v>
      </c>
      <c r="B1" s="14"/>
    </row>
    <row r="2" spans="1:2" ht="17.399999999999999" x14ac:dyDescent="0.3">
      <c r="A2" s="15" t="s">
        <v>39</v>
      </c>
      <c r="B2" s="14"/>
    </row>
    <row r="3" spans="1:2" x14ac:dyDescent="0.3">
      <c r="A3" s="16" t="s">
        <v>40</v>
      </c>
      <c r="B3" s="14"/>
    </row>
    <row r="5" spans="1:2" x14ac:dyDescent="0.3">
      <c r="A5" s="1"/>
      <c r="B5" s="2" t="s">
        <v>0</v>
      </c>
    </row>
    <row r="6" spans="1:2" x14ac:dyDescent="0.3">
      <c r="A6" s="3" t="s">
        <v>1</v>
      </c>
      <c r="B6" s="4"/>
    </row>
    <row r="7" spans="1:2" x14ac:dyDescent="0.3">
      <c r="A7" s="3" t="s">
        <v>2</v>
      </c>
      <c r="B7" s="4"/>
    </row>
    <row r="8" spans="1:2" x14ac:dyDescent="0.3">
      <c r="A8" s="3" t="s">
        <v>3</v>
      </c>
      <c r="B8" s="4"/>
    </row>
    <row r="9" spans="1:2" x14ac:dyDescent="0.3">
      <c r="A9" s="3" t="s">
        <v>4</v>
      </c>
      <c r="B9" s="5">
        <f>84471.41</f>
        <v>84471.41</v>
      </c>
    </row>
    <row r="10" spans="1:2" x14ac:dyDescent="0.3">
      <c r="A10" s="3" t="s">
        <v>5</v>
      </c>
      <c r="B10" s="5">
        <f>520247.14</f>
        <v>520247.14</v>
      </c>
    </row>
    <row r="11" spans="1:2" x14ac:dyDescent="0.3">
      <c r="A11" s="3" t="s">
        <v>6</v>
      </c>
      <c r="B11" s="5">
        <f>0</f>
        <v>0</v>
      </c>
    </row>
    <row r="12" spans="1:2" x14ac:dyDescent="0.3">
      <c r="A12" s="3" t="s">
        <v>7</v>
      </c>
      <c r="B12" s="6">
        <f>((B9)+(B10))+(B11)</f>
        <v>604718.55000000005</v>
      </c>
    </row>
    <row r="13" spans="1:2" x14ac:dyDescent="0.3">
      <c r="A13" s="3" t="s">
        <v>8</v>
      </c>
      <c r="B13" s="4"/>
    </row>
    <row r="14" spans="1:2" x14ac:dyDescent="0.3">
      <c r="A14" s="3" t="s">
        <v>9</v>
      </c>
      <c r="B14" s="5">
        <f>0</f>
        <v>0</v>
      </c>
    </row>
    <row r="15" spans="1:2" x14ac:dyDescent="0.3">
      <c r="A15" s="3" t="s">
        <v>10</v>
      </c>
      <c r="B15" s="5">
        <f>0</f>
        <v>0</v>
      </c>
    </row>
    <row r="16" spans="1:2" x14ac:dyDescent="0.3">
      <c r="A16" s="3" t="s">
        <v>11</v>
      </c>
      <c r="B16" s="4"/>
    </row>
    <row r="17" spans="1:2" x14ac:dyDescent="0.3">
      <c r="A17" s="3" t="s">
        <v>12</v>
      </c>
      <c r="B17" s="5">
        <f>27.94</f>
        <v>27.94</v>
      </c>
    </row>
    <row r="18" spans="1:2" x14ac:dyDescent="0.3">
      <c r="A18" s="3" t="s">
        <v>13</v>
      </c>
      <c r="B18" s="6">
        <f>(B16)+(B17)</f>
        <v>27.94</v>
      </c>
    </row>
    <row r="19" spans="1:2" x14ac:dyDescent="0.3">
      <c r="A19" s="3" t="s">
        <v>14</v>
      </c>
      <c r="B19" s="6">
        <f>((B14)+(B15))+(B18)</f>
        <v>27.94</v>
      </c>
    </row>
    <row r="20" spans="1:2" x14ac:dyDescent="0.3">
      <c r="A20" s="3" t="s">
        <v>15</v>
      </c>
      <c r="B20" s="6">
        <f>(B12)+(B19)</f>
        <v>604746.49</v>
      </c>
    </row>
    <row r="21" spans="1:2" x14ac:dyDescent="0.3">
      <c r="A21" s="3" t="s">
        <v>16</v>
      </c>
      <c r="B21" s="7">
        <f>B20</f>
        <v>604746.49</v>
      </c>
    </row>
    <row r="22" spans="1:2" x14ac:dyDescent="0.3">
      <c r="A22" s="3" t="s">
        <v>17</v>
      </c>
      <c r="B22" s="4"/>
    </row>
    <row r="23" spans="1:2" x14ac:dyDescent="0.3">
      <c r="A23" s="3" t="s">
        <v>18</v>
      </c>
      <c r="B23" s="4"/>
    </row>
    <row r="24" spans="1:2" x14ac:dyDescent="0.3">
      <c r="A24" s="3" t="s">
        <v>19</v>
      </c>
      <c r="B24" s="4"/>
    </row>
    <row r="25" spans="1:2" x14ac:dyDescent="0.3">
      <c r="A25" s="3" t="s">
        <v>20</v>
      </c>
      <c r="B25" s="4"/>
    </row>
    <row r="26" spans="1:2" x14ac:dyDescent="0.3">
      <c r="A26" s="3" t="s">
        <v>21</v>
      </c>
      <c r="B26" s="5">
        <f>-7156.77</f>
        <v>-7156.77</v>
      </c>
    </row>
    <row r="27" spans="1:2" x14ac:dyDescent="0.3">
      <c r="A27" s="3" t="s">
        <v>22</v>
      </c>
      <c r="B27" s="6">
        <f>B26</f>
        <v>-7156.77</v>
      </c>
    </row>
    <row r="28" spans="1:2" x14ac:dyDescent="0.3">
      <c r="A28" s="3" t="s">
        <v>23</v>
      </c>
      <c r="B28" s="4"/>
    </row>
    <row r="29" spans="1:2" x14ac:dyDescent="0.3">
      <c r="A29" s="3" t="s">
        <v>24</v>
      </c>
      <c r="B29" s="5">
        <f>-534.2</f>
        <v>-534.20000000000005</v>
      </c>
    </row>
    <row r="30" spans="1:2" x14ac:dyDescent="0.3">
      <c r="A30" s="3" t="s">
        <v>25</v>
      </c>
      <c r="B30" s="6">
        <f>B29</f>
        <v>-534.20000000000005</v>
      </c>
    </row>
    <row r="31" spans="1:2" x14ac:dyDescent="0.3">
      <c r="A31" s="3" t="s">
        <v>26</v>
      </c>
      <c r="B31" s="4"/>
    </row>
    <row r="32" spans="1:2" x14ac:dyDescent="0.3">
      <c r="A32" s="3" t="s">
        <v>27</v>
      </c>
      <c r="B32" s="5">
        <f>157883.58</f>
        <v>157883.57999999999</v>
      </c>
    </row>
    <row r="33" spans="1:2" x14ac:dyDescent="0.3">
      <c r="A33" s="3" t="s">
        <v>28</v>
      </c>
      <c r="B33" s="6">
        <f>B32</f>
        <v>157883.57999999999</v>
      </c>
    </row>
    <row r="34" spans="1:2" x14ac:dyDescent="0.3">
      <c r="A34" s="3" t="s">
        <v>29</v>
      </c>
      <c r="B34" s="6">
        <f>((B27)+(B30))+(B33)</f>
        <v>150192.60999999999</v>
      </c>
    </row>
    <row r="35" spans="1:2" x14ac:dyDescent="0.3">
      <c r="A35" s="3" t="s">
        <v>30</v>
      </c>
      <c r="B35" s="6">
        <f>B34</f>
        <v>150192.60999999999</v>
      </c>
    </row>
    <row r="36" spans="1:2" x14ac:dyDescent="0.3">
      <c r="A36" s="3" t="s">
        <v>31</v>
      </c>
      <c r="B36" s="4"/>
    </row>
    <row r="37" spans="1:2" x14ac:dyDescent="0.3">
      <c r="A37" s="3" t="s">
        <v>32</v>
      </c>
      <c r="B37" s="5">
        <f>0.06</f>
        <v>0.06</v>
      </c>
    </row>
    <row r="38" spans="1:2" x14ac:dyDescent="0.3">
      <c r="A38" s="3" t="s">
        <v>33</v>
      </c>
      <c r="B38" s="5">
        <f>421532.3</f>
        <v>421532.3</v>
      </c>
    </row>
    <row r="39" spans="1:2" x14ac:dyDescent="0.3">
      <c r="A39" s="3" t="s">
        <v>34</v>
      </c>
      <c r="B39" s="5">
        <f>33021.52</f>
        <v>33021.519999999997</v>
      </c>
    </row>
    <row r="40" spans="1:2" x14ac:dyDescent="0.3">
      <c r="A40" s="3" t="s">
        <v>35</v>
      </c>
      <c r="B40" s="6">
        <f>((B37)+(B38))+(B39)</f>
        <v>454553.88</v>
      </c>
    </row>
    <row r="41" spans="1:2" x14ac:dyDescent="0.3">
      <c r="A41" s="3" t="s">
        <v>36</v>
      </c>
      <c r="B41" s="7">
        <f>(B35)+(B40)</f>
        <v>604746.49</v>
      </c>
    </row>
    <row r="42" spans="1:2" x14ac:dyDescent="0.3">
      <c r="A42" s="3"/>
      <c r="B42" s="4"/>
    </row>
    <row r="45" spans="1:2" x14ac:dyDescent="0.3">
      <c r="A45" s="13" t="s">
        <v>37</v>
      </c>
      <c r="B45" s="14"/>
    </row>
  </sheetData>
  <mergeCells count="4">
    <mergeCell ref="A45:B45"/>
    <mergeCell ref="A1:B1"/>
    <mergeCell ref="A2:B2"/>
    <mergeCell ref="A3:B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E11778-443E-45A5-91E0-AE726D9E4C5B}">
  <dimension ref="A1:AE67"/>
  <sheetViews>
    <sheetView topLeftCell="I1" workbookViewId="0">
      <selection activeCell="I1" sqref="A1:XFD1048576"/>
    </sheetView>
  </sheetViews>
  <sheetFormatPr defaultRowHeight="14.4" x14ac:dyDescent="0.3"/>
  <cols>
    <col min="1" max="1" width="37" customWidth="1"/>
    <col min="2" max="2" width="7.77734375" customWidth="1"/>
    <col min="3" max="4" width="8.5546875" customWidth="1"/>
    <col min="5" max="5" width="7.77734375" customWidth="1"/>
    <col min="6" max="6" width="8.5546875" customWidth="1"/>
    <col min="7" max="7" width="10.33203125" customWidth="1"/>
    <col min="8" max="8" width="7.77734375" customWidth="1"/>
    <col min="9" max="10" width="8.5546875" customWidth="1"/>
    <col min="11" max="14" width="7.77734375" customWidth="1"/>
    <col min="15" max="16" width="8.5546875" customWidth="1"/>
    <col min="17" max="18" width="9.44140625" customWidth="1"/>
    <col min="19" max="19" width="8.5546875" customWidth="1"/>
    <col min="20" max="21" width="7.77734375" customWidth="1"/>
    <col min="22" max="22" width="8.5546875" customWidth="1"/>
    <col min="23" max="24" width="9.44140625" customWidth="1"/>
    <col min="25" max="25" width="10.33203125" customWidth="1"/>
    <col min="26" max="28" width="7.77734375" customWidth="1"/>
    <col min="29" max="30" width="9.44140625" customWidth="1"/>
    <col min="31" max="31" width="10.33203125" customWidth="1"/>
  </cols>
  <sheetData>
    <row r="1" spans="1:31" ht="17.399999999999999" x14ac:dyDescent="0.3">
      <c r="A1" s="15" t="s">
        <v>38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</row>
    <row r="2" spans="1:31" ht="17.399999999999999" x14ac:dyDescent="0.3">
      <c r="A2" s="15" t="s">
        <v>41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</row>
    <row r="3" spans="1:31" x14ac:dyDescent="0.3">
      <c r="A3" s="16" t="s">
        <v>42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</row>
    <row r="5" spans="1:31" x14ac:dyDescent="0.3">
      <c r="A5" s="1"/>
      <c r="B5" s="17" t="s">
        <v>43</v>
      </c>
      <c r="C5" s="18"/>
      <c r="D5" s="18"/>
      <c r="E5" s="17" t="s">
        <v>44</v>
      </c>
      <c r="F5" s="18"/>
      <c r="G5" s="18"/>
      <c r="H5" s="17" t="s">
        <v>45</v>
      </c>
      <c r="I5" s="18"/>
      <c r="J5" s="18"/>
      <c r="K5" s="17" t="s">
        <v>46</v>
      </c>
      <c r="L5" s="18"/>
      <c r="M5" s="18"/>
      <c r="N5" s="17" t="s">
        <v>47</v>
      </c>
      <c r="O5" s="18"/>
      <c r="P5" s="18"/>
      <c r="Q5" s="17" t="s">
        <v>48</v>
      </c>
      <c r="R5" s="18"/>
      <c r="S5" s="18"/>
      <c r="T5" s="17" t="s">
        <v>49</v>
      </c>
      <c r="U5" s="18"/>
      <c r="V5" s="18"/>
      <c r="W5" s="17" t="s">
        <v>50</v>
      </c>
      <c r="X5" s="18"/>
      <c r="Y5" s="18"/>
      <c r="Z5" s="17" t="s">
        <v>51</v>
      </c>
      <c r="AA5" s="18"/>
      <c r="AB5" s="18"/>
      <c r="AC5" s="17" t="s">
        <v>52</v>
      </c>
      <c r="AD5" s="18"/>
      <c r="AE5" s="18"/>
    </row>
    <row r="6" spans="1:31" ht="24.6" x14ac:dyDescent="0.3">
      <c r="A6" s="1"/>
      <c r="B6" s="2" t="s">
        <v>53</v>
      </c>
      <c r="C6" s="2" t="s">
        <v>54</v>
      </c>
      <c r="D6" s="2" t="s">
        <v>55</v>
      </c>
      <c r="E6" s="2" t="s">
        <v>53</v>
      </c>
      <c r="F6" s="2" t="s">
        <v>54</v>
      </c>
      <c r="G6" s="2" t="s">
        <v>55</v>
      </c>
      <c r="H6" s="2" t="s">
        <v>53</v>
      </c>
      <c r="I6" s="2" t="s">
        <v>54</v>
      </c>
      <c r="J6" s="2" t="s">
        <v>55</v>
      </c>
      <c r="K6" s="2" t="s">
        <v>53</v>
      </c>
      <c r="L6" s="2" t="s">
        <v>54</v>
      </c>
      <c r="M6" s="2" t="s">
        <v>55</v>
      </c>
      <c r="N6" s="2" t="s">
        <v>53</v>
      </c>
      <c r="O6" s="2" t="s">
        <v>54</v>
      </c>
      <c r="P6" s="2" t="s">
        <v>55</v>
      </c>
      <c r="Q6" s="2" t="s">
        <v>53</v>
      </c>
      <c r="R6" s="2" t="s">
        <v>54</v>
      </c>
      <c r="S6" s="2" t="s">
        <v>55</v>
      </c>
      <c r="T6" s="2" t="s">
        <v>53</v>
      </c>
      <c r="U6" s="2" t="s">
        <v>54</v>
      </c>
      <c r="V6" s="2" t="s">
        <v>55</v>
      </c>
      <c r="W6" s="2" t="s">
        <v>53</v>
      </c>
      <c r="X6" s="2" t="s">
        <v>54</v>
      </c>
      <c r="Y6" s="2" t="s">
        <v>55</v>
      </c>
      <c r="Z6" s="2" t="s">
        <v>53</v>
      </c>
      <c r="AA6" s="2" t="s">
        <v>54</v>
      </c>
      <c r="AB6" s="2" t="s">
        <v>55</v>
      </c>
      <c r="AC6" s="2" t="s">
        <v>53</v>
      </c>
      <c r="AD6" s="2" t="s">
        <v>54</v>
      </c>
      <c r="AE6" s="2" t="s">
        <v>55</v>
      </c>
    </row>
    <row r="7" spans="1:31" x14ac:dyDescent="0.3">
      <c r="A7" s="3" t="s">
        <v>56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</row>
    <row r="8" spans="1:31" x14ac:dyDescent="0.3">
      <c r="A8" s="3" t="s">
        <v>57</v>
      </c>
      <c r="B8" s="4"/>
      <c r="C8" s="4"/>
      <c r="D8" s="5">
        <f t="shared" ref="D8:D14" si="0">(C8)-(B8)</f>
        <v>0</v>
      </c>
      <c r="E8" s="4"/>
      <c r="F8" s="4"/>
      <c r="G8" s="5">
        <f t="shared" ref="G8:G14" si="1">(F8)-(E8)</f>
        <v>0</v>
      </c>
      <c r="H8" s="4"/>
      <c r="I8" s="4"/>
      <c r="J8" s="5">
        <f t="shared" ref="J8:J14" si="2">(I8)-(H8)</f>
        <v>0</v>
      </c>
      <c r="K8" s="4"/>
      <c r="L8" s="4"/>
      <c r="M8" s="5">
        <f t="shared" ref="M8:M14" si="3">(L8)-(K8)</f>
        <v>0</v>
      </c>
      <c r="N8" s="4"/>
      <c r="O8" s="4"/>
      <c r="P8" s="5">
        <f t="shared" ref="P8:P14" si="4">(O8)-(N8)</f>
        <v>0</v>
      </c>
      <c r="Q8" s="4"/>
      <c r="R8" s="4"/>
      <c r="S8" s="5">
        <f t="shared" ref="S8:S14" si="5">(R8)-(Q8)</f>
        <v>0</v>
      </c>
      <c r="T8" s="4"/>
      <c r="U8" s="4"/>
      <c r="V8" s="5">
        <f t="shared" ref="V8:V14" si="6">(U8)-(T8)</f>
        <v>0</v>
      </c>
      <c r="W8" s="4"/>
      <c r="X8" s="4"/>
      <c r="Y8" s="5">
        <f t="shared" ref="Y8:Y14" si="7">(X8)-(W8)</f>
        <v>0</v>
      </c>
      <c r="Z8" s="4"/>
      <c r="AA8" s="4"/>
      <c r="AB8" s="5">
        <f t="shared" ref="AB8:AB14" si="8">(AA8)-(Z8)</f>
        <v>0</v>
      </c>
      <c r="AC8" s="5">
        <f t="shared" ref="AC8:AD14" si="9">((((((((B8)+(E8))+(H8))+(K8))+(N8))+(Q8))+(T8))+(W8))+(Z8)</f>
        <v>0</v>
      </c>
      <c r="AD8" s="5">
        <f t="shared" si="9"/>
        <v>0</v>
      </c>
      <c r="AE8" s="5">
        <f t="shared" ref="AE8:AE14" si="10">(AD8)-(AC8)</f>
        <v>0</v>
      </c>
    </row>
    <row r="9" spans="1:31" x14ac:dyDescent="0.3">
      <c r="A9" s="3" t="s">
        <v>58</v>
      </c>
      <c r="B9" s="4"/>
      <c r="C9" s="4"/>
      <c r="D9" s="5">
        <f t="shared" si="0"/>
        <v>0</v>
      </c>
      <c r="E9" s="4"/>
      <c r="F9" s="5">
        <f>2083.33</f>
        <v>2083.33</v>
      </c>
      <c r="G9" s="5">
        <f t="shared" si="1"/>
        <v>2083.33</v>
      </c>
      <c r="H9" s="4"/>
      <c r="I9" s="4"/>
      <c r="J9" s="5">
        <f t="shared" si="2"/>
        <v>0</v>
      </c>
      <c r="K9" s="4"/>
      <c r="L9" s="4"/>
      <c r="M9" s="5">
        <f t="shared" si="3"/>
        <v>0</v>
      </c>
      <c r="N9" s="4"/>
      <c r="O9" s="5">
        <f>1041.67</f>
        <v>1041.67</v>
      </c>
      <c r="P9" s="5">
        <f t="shared" si="4"/>
        <v>1041.67</v>
      </c>
      <c r="Q9" s="4"/>
      <c r="R9" s="4"/>
      <c r="S9" s="5">
        <f t="shared" si="5"/>
        <v>0</v>
      </c>
      <c r="T9" s="4"/>
      <c r="U9" s="4"/>
      <c r="V9" s="5">
        <f t="shared" si="6"/>
        <v>0</v>
      </c>
      <c r="W9" s="4"/>
      <c r="X9" s="4"/>
      <c r="Y9" s="5">
        <f t="shared" si="7"/>
        <v>0</v>
      </c>
      <c r="Z9" s="4"/>
      <c r="AA9" s="4"/>
      <c r="AB9" s="5">
        <f t="shared" si="8"/>
        <v>0</v>
      </c>
      <c r="AC9" s="5">
        <f t="shared" si="9"/>
        <v>0</v>
      </c>
      <c r="AD9" s="5">
        <f t="shared" si="9"/>
        <v>3125</v>
      </c>
      <c r="AE9" s="5">
        <f t="shared" si="10"/>
        <v>3125</v>
      </c>
    </row>
    <row r="10" spans="1:31" x14ac:dyDescent="0.3">
      <c r="A10" s="3" t="s">
        <v>59</v>
      </c>
      <c r="B10" s="7">
        <f>(B8)+(B9)</f>
        <v>0</v>
      </c>
      <c r="C10" s="7">
        <f>(C8)+(C9)</f>
        <v>0</v>
      </c>
      <c r="D10" s="7">
        <f t="shared" si="0"/>
        <v>0</v>
      </c>
      <c r="E10" s="7">
        <f>(E8)+(E9)</f>
        <v>0</v>
      </c>
      <c r="F10" s="7">
        <f>(F8)+(F9)</f>
        <v>2083.33</v>
      </c>
      <c r="G10" s="7">
        <f t="shared" si="1"/>
        <v>2083.33</v>
      </c>
      <c r="H10" s="7">
        <f>(H8)+(H9)</f>
        <v>0</v>
      </c>
      <c r="I10" s="7">
        <f>(I8)+(I9)</f>
        <v>0</v>
      </c>
      <c r="J10" s="7">
        <f t="shared" si="2"/>
        <v>0</v>
      </c>
      <c r="K10" s="7">
        <f>(K8)+(K9)</f>
        <v>0</v>
      </c>
      <c r="L10" s="7">
        <f>(L8)+(L9)</f>
        <v>0</v>
      </c>
      <c r="M10" s="7">
        <f t="shared" si="3"/>
        <v>0</v>
      </c>
      <c r="N10" s="7">
        <f>(N8)+(N9)</f>
        <v>0</v>
      </c>
      <c r="O10" s="7">
        <f>(O8)+(O9)</f>
        <v>1041.67</v>
      </c>
      <c r="P10" s="7">
        <f t="shared" si="4"/>
        <v>1041.67</v>
      </c>
      <c r="Q10" s="7">
        <f>(Q8)+(Q9)</f>
        <v>0</v>
      </c>
      <c r="R10" s="7">
        <f>(R8)+(R9)</f>
        <v>0</v>
      </c>
      <c r="S10" s="7">
        <f t="shared" si="5"/>
        <v>0</v>
      </c>
      <c r="T10" s="7">
        <f>(T8)+(T9)</f>
        <v>0</v>
      </c>
      <c r="U10" s="7">
        <f>(U8)+(U9)</f>
        <v>0</v>
      </c>
      <c r="V10" s="7">
        <f t="shared" si="6"/>
        <v>0</v>
      </c>
      <c r="W10" s="7">
        <f>(W8)+(W9)</f>
        <v>0</v>
      </c>
      <c r="X10" s="7">
        <f>(X8)+(X9)</f>
        <v>0</v>
      </c>
      <c r="Y10" s="7">
        <f t="shared" si="7"/>
        <v>0</v>
      </c>
      <c r="Z10" s="7">
        <f>(Z8)+(Z9)</f>
        <v>0</v>
      </c>
      <c r="AA10" s="7">
        <f>(AA8)+(AA9)</f>
        <v>0</v>
      </c>
      <c r="AB10" s="7">
        <f t="shared" si="8"/>
        <v>0</v>
      </c>
      <c r="AC10" s="7">
        <f t="shared" si="9"/>
        <v>0</v>
      </c>
      <c r="AD10" s="7">
        <f t="shared" si="9"/>
        <v>3125</v>
      </c>
      <c r="AE10" s="7">
        <f t="shared" si="10"/>
        <v>3125</v>
      </c>
    </row>
    <row r="11" spans="1:31" x14ac:dyDescent="0.3">
      <c r="A11" s="3" t="s">
        <v>60</v>
      </c>
      <c r="B11" s="4"/>
      <c r="C11" s="5">
        <f>595.83</f>
        <v>595.83000000000004</v>
      </c>
      <c r="D11" s="5">
        <f t="shared" si="0"/>
        <v>595.83000000000004</v>
      </c>
      <c r="E11" s="4"/>
      <c r="F11" s="4"/>
      <c r="G11" s="5">
        <f t="shared" si="1"/>
        <v>0</v>
      </c>
      <c r="H11" s="4"/>
      <c r="I11" s="5">
        <f>166.67</f>
        <v>166.67</v>
      </c>
      <c r="J11" s="5">
        <f t="shared" si="2"/>
        <v>166.67</v>
      </c>
      <c r="K11" s="5">
        <f>842.96</f>
        <v>842.96</v>
      </c>
      <c r="L11" s="5">
        <f>820.83</f>
        <v>820.83</v>
      </c>
      <c r="M11" s="8">
        <f t="shared" si="3"/>
        <v>-22.129999999999995</v>
      </c>
      <c r="N11" s="4"/>
      <c r="O11" s="4"/>
      <c r="P11" s="5">
        <f t="shared" si="4"/>
        <v>0</v>
      </c>
      <c r="Q11" s="4"/>
      <c r="R11" s="5">
        <f>58.33</f>
        <v>58.33</v>
      </c>
      <c r="S11" s="5">
        <f t="shared" si="5"/>
        <v>58.33</v>
      </c>
      <c r="T11" s="4"/>
      <c r="U11" s="4"/>
      <c r="V11" s="5">
        <f t="shared" si="6"/>
        <v>0</v>
      </c>
      <c r="W11" s="4"/>
      <c r="X11" s="4"/>
      <c r="Y11" s="5">
        <f t="shared" si="7"/>
        <v>0</v>
      </c>
      <c r="Z11" s="4"/>
      <c r="AA11" s="4"/>
      <c r="AB11" s="5">
        <f t="shared" si="8"/>
        <v>0</v>
      </c>
      <c r="AC11" s="5">
        <f t="shared" si="9"/>
        <v>842.96</v>
      </c>
      <c r="AD11" s="5">
        <f t="shared" si="9"/>
        <v>1641.6599999999999</v>
      </c>
      <c r="AE11" s="5">
        <f t="shared" si="10"/>
        <v>798.69999999999982</v>
      </c>
    </row>
    <row r="12" spans="1:31" x14ac:dyDescent="0.3">
      <c r="A12" s="3" t="s">
        <v>61</v>
      </c>
      <c r="B12" s="5">
        <f>542.57</f>
        <v>542.57000000000005</v>
      </c>
      <c r="C12" s="5">
        <f>520.71</f>
        <v>520.71</v>
      </c>
      <c r="D12" s="8">
        <f t="shared" si="0"/>
        <v>-21.860000000000014</v>
      </c>
      <c r="E12" s="5">
        <f>542.57</f>
        <v>542.57000000000005</v>
      </c>
      <c r="F12" s="5">
        <f>520.71</f>
        <v>520.71</v>
      </c>
      <c r="G12" s="8">
        <f t="shared" si="1"/>
        <v>-21.860000000000014</v>
      </c>
      <c r="H12" s="5">
        <f>542.57</f>
        <v>542.57000000000005</v>
      </c>
      <c r="I12" s="5">
        <f>520.71</f>
        <v>520.71</v>
      </c>
      <c r="J12" s="8">
        <f t="shared" si="2"/>
        <v>-21.860000000000014</v>
      </c>
      <c r="K12" s="4"/>
      <c r="L12" s="4"/>
      <c r="M12" s="5">
        <f t="shared" si="3"/>
        <v>0</v>
      </c>
      <c r="N12" s="4"/>
      <c r="O12" s="4"/>
      <c r="P12" s="5">
        <f t="shared" si="4"/>
        <v>0</v>
      </c>
      <c r="Q12" s="5">
        <f>11394.07</f>
        <v>11394.07</v>
      </c>
      <c r="R12" s="5">
        <f>10934.82</f>
        <v>10934.82</v>
      </c>
      <c r="S12" s="8">
        <f t="shared" si="5"/>
        <v>-459.25</v>
      </c>
      <c r="T12" s="5">
        <f>542.57</f>
        <v>542.57000000000005</v>
      </c>
      <c r="U12" s="5">
        <f>520.71</f>
        <v>520.71</v>
      </c>
      <c r="V12" s="8">
        <f t="shared" si="6"/>
        <v>-21.860000000000014</v>
      </c>
      <c r="W12" s="5">
        <f>40693.1</f>
        <v>40693.1</v>
      </c>
      <c r="X12" s="5">
        <f>39052.92</f>
        <v>39052.92</v>
      </c>
      <c r="Y12" s="8">
        <f t="shared" si="7"/>
        <v>-1640.1800000000003</v>
      </c>
      <c r="Z12" s="4"/>
      <c r="AA12" s="4"/>
      <c r="AB12" s="5">
        <f t="shared" si="8"/>
        <v>0</v>
      </c>
      <c r="AC12" s="5">
        <f t="shared" si="9"/>
        <v>54257.45</v>
      </c>
      <c r="AD12" s="5">
        <f t="shared" si="9"/>
        <v>52070.58</v>
      </c>
      <c r="AE12" s="8">
        <f t="shared" si="10"/>
        <v>-2186.8699999999953</v>
      </c>
    </row>
    <row r="13" spans="1:31" x14ac:dyDescent="0.3">
      <c r="A13" s="3" t="s">
        <v>62</v>
      </c>
      <c r="B13" s="7">
        <f>((B10)+(B11))+(B12)</f>
        <v>542.57000000000005</v>
      </c>
      <c r="C13" s="7">
        <f>((C10)+(C11))+(C12)</f>
        <v>1116.54</v>
      </c>
      <c r="D13" s="7">
        <f t="shared" si="0"/>
        <v>573.96999999999991</v>
      </c>
      <c r="E13" s="7">
        <f>((E10)+(E11))+(E12)</f>
        <v>542.57000000000005</v>
      </c>
      <c r="F13" s="7">
        <f>((F10)+(F11))+(F12)</f>
        <v>2604.04</v>
      </c>
      <c r="G13" s="7">
        <f t="shared" si="1"/>
        <v>2061.4699999999998</v>
      </c>
      <c r="H13" s="7">
        <f>((H10)+(H11))+(H12)</f>
        <v>542.57000000000005</v>
      </c>
      <c r="I13" s="7">
        <f>((I10)+(I11))+(I12)</f>
        <v>687.38</v>
      </c>
      <c r="J13" s="7">
        <f t="shared" si="2"/>
        <v>144.80999999999995</v>
      </c>
      <c r="K13" s="7">
        <f>((K10)+(K11))+(K12)</f>
        <v>842.96</v>
      </c>
      <c r="L13" s="7">
        <f>((L10)+(L11))+(L12)</f>
        <v>820.83</v>
      </c>
      <c r="M13" s="9">
        <f t="shared" si="3"/>
        <v>-22.129999999999995</v>
      </c>
      <c r="N13" s="7">
        <f>((N10)+(N11))+(N12)</f>
        <v>0</v>
      </c>
      <c r="O13" s="7">
        <f>((O10)+(O11))+(O12)</f>
        <v>1041.67</v>
      </c>
      <c r="P13" s="7">
        <f t="shared" si="4"/>
        <v>1041.67</v>
      </c>
      <c r="Q13" s="7">
        <f>((Q10)+(Q11))+(Q12)</f>
        <v>11394.07</v>
      </c>
      <c r="R13" s="7">
        <f>((R10)+(R11))+(R12)</f>
        <v>10993.15</v>
      </c>
      <c r="S13" s="9">
        <f t="shared" si="5"/>
        <v>-400.92000000000007</v>
      </c>
      <c r="T13" s="7">
        <f>((T10)+(T11))+(T12)</f>
        <v>542.57000000000005</v>
      </c>
      <c r="U13" s="7">
        <f>((U10)+(U11))+(U12)</f>
        <v>520.71</v>
      </c>
      <c r="V13" s="9">
        <f t="shared" si="6"/>
        <v>-21.860000000000014</v>
      </c>
      <c r="W13" s="7">
        <f>((W10)+(W11))+(W12)</f>
        <v>40693.1</v>
      </c>
      <c r="X13" s="7">
        <f>((X10)+(X11))+(X12)</f>
        <v>39052.92</v>
      </c>
      <c r="Y13" s="9">
        <f t="shared" si="7"/>
        <v>-1640.1800000000003</v>
      </c>
      <c r="Z13" s="7">
        <f>((Z10)+(Z11))+(Z12)</f>
        <v>0</v>
      </c>
      <c r="AA13" s="7">
        <f>((AA10)+(AA11))+(AA12)</f>
        <v>0</v>
      </c>
      <c r="AB13" s="7">
        <f t="shared" si="8"/>
        <v>0</v>
      </c>
      <c r="AC13" s="7">
        <f t="shared" si="9"/>
        <v>55100.409999999996</v>
      </c>
      <c r="AD13" s="7">
        <f t="shared" si="9"/>
        <v>56837.24</v>
      </c>
      <c r="AE13" s="7">
        <f t="shared" si="10"/>
        <v>1736.8300000000017</v>
      </c>
    </row>
    <row r="14" spans="1:31" x14ac:dyDescent="0.3">
      <c r="A14" s="3" t="s">
        <v>63</v>
      </c>
      <c r="B14" s="7">
        <f>(B13)-(0)</f>
        <v>542.57000000000005</v>
      </c>
      <c r="C14" s="7">
        <f>(C13)-(0)</f>
        <v>1116.54</v>
      </c>
      <c r="D14" s="7">
        <f t="shared" si="0"/>
        <v>573.96999999999991</v>
      </c>
      <c r="E14" s="7">
        <f>(E13)-(0)</f>
        <v>542.57000000000005</v>
      </c>
      <c r="F14" s="7">
        <f>(F13)-(0)</f>
        <v>2604.04</v>
      </c>
      <c r="G14" s="7">
        <f t="shared" si="1"/>
        <v>2061.4699999999998</v>
      </c>
      <c r="H14" s="7">
        <f>(H13)-(0)</f>
        <v>542.57000000000005</v>
      </c>
      <c r="I14" s="7">
        <f>(I13)-(0)</f>
        <v>687.38</v>
      </c>
      <c r="J14" s="7">
        <f t="shared" si="2"/>
        <v>144.80999999999995</v>
      </c>
      <c r="K14" s="7">
        <f>(K13)-(0)</f>
        <v>842.96</v>
      </c>
      <c r="L14" s="7">
        <f>(L13)-(0)</f>
        <v>820.83</v>
      </c>
      <c r="M14" s="9">
        <f t="shared" si="3"/>
        <v>-22.129999999999995</v>
      </c>
      <c r="N14" s="7">
        <f>(N13)-(0)</f>
        <v>0</v>
      </c>
      <c r="O14" s="7">
        <f>(O13)-(0)</f>
        <v>1041.67</v>
      </c>
      <c r="P14" s="7">
        <f t="shared" si="4"/>
        <v>1041.67</v>
      </c>
      <c r="Q14" s="7">
        <f>(Q13)-(0)</f>
        <v>11394.07</v>
      </c>
      <c r="R14" s="7">
        <f>(R13)-(0)</f>
        <v>10993.15</v>
      </c>
      <c r="S14" s="9">
        <f t="shared" si="5"/>
        <v>-400.92000000000007</v>
      </c>
      <c r="T14" s="7">
        <f>(T13)-(0)</f>
        <v>542.57000000000005</v>
      </c>
      <c r="U14" s="7">
        <f>(U13)-(0)</f>
        <v>520.71</v>
      </c>
      <c r="V14" s="9">
        <f t="shared" si="6"/>
        <v>-21.860000000000014</v>
      </c>
      <c r="W14" s="7">
        <f>(W13)-(0)</f>
        <v>40693.1</v>
      </c>
      <c r="X14" s="7">
        <f>(X13)-(0)</f>
        <v>39052.92</v>
      </c>
      <c r="Y14" s="9">
        <f t="shared" si="7"/>
        <v>-1640.1800000000003</v>
      </c>
      <c r="Z14" s="7">
        <f>(Z13)-(0)</f>
        <v>0</v>
      </c>
      <c r="AA14" s="7">
        <f>(AA13)-(0)</f>
        <v>0</v>
      </c>
      <c r="AB14" s="7">
        <f t="shared" si="8"/>
        <v>0</v>
      </c>
      <c r="AC14" s="7">
        <f t="shared" si="9"/>
        <v>55100.409999999996</v>
      </c>
      <c r="AD14" s="7">
        <f t="shared" si="9"/>
        <v>56837.24</v>
      </c>
      <c r="AE14" s="7">
        <f t="shared" si="10"/>
        <v>1736.8300000000017</v>
      </c>
    </row>
    <row r="15" spans="1:31" x14ac:dyDescent="0.3">
      <c r="A15" s="3" t="s">
        <v>64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</row>
    <row r="16" spans="1:31" x14ac:dyDescent="0.3">
      <c r="A16" s="3" t="s">
        <v>65</v>
      </c>
      <c r="B16" s="4"/>
      <c r="C16" s="4"/>
      <c r="D16" s="5">
        <f t="shared" ref="D16:D63" si="11">(C16)-(B16)</f>
        <v>0</v>
      </c>
      <c r="E16" s="4"/>
      <c r="F16" s="4"/>
      <c r="G16" s="5">
        <f t="shared" ref="G16:G63" si="12">(F16)-(E16)</f>
        <v>0</v>
      </c>
      <c r="H16" s="4"/>
      <c r="I16" s="4"/>
      <c r="J16" s="5">
        <f t="shared" ref="J16:J63" si="13">(I16)-(H16)</f>
        <v>0</v>
      </c>
      <c r="K16" s="4"/>
      <c r="L16" s="4"/>
      <c r="M16" s="5">
        <f t="shared" ref="M16:M63" si="14">(L16)-(K16)</f>
        <v>0</v>
      </c>
      <c r="N16" s="4"/>
      <c r="O16" s="4"/>
      <c r="P16" s="5">
        <f t="shared" ref="P16:P63" si="15">(O16)-(N16)</f>
        <v>0</v>
      </c>
      <c r="Q16" s="4"/>
      <c r="R16" s="4"/>
      <c r="S16" s="5">
        <f t="shared" ref="S16:S63" si="16">(R16)-(Q16)</f>
        <v>0</v>
      </c>
      <c r="T16" s="4"/>
      <c r="U16" s="4"/>
      <c r="V16" s="5">
        <f t="shared" ref="V16:V63" si="17">(U16)-(T16)</f>
        <v>0</v>
      </c>
      <c r="W16" s="4"/>
      <c r="X16" s="4"/>
      <c r="Y16" s="5">
        <f t="shared" ref="Y16:Y63" si="18">(X16)-(W16)</f>
        <v>0</v>
      </c>
      <c r="Z16" s="4"/>
      <c r="AA16" s="4"/>
      <c r="AB16" s="5">
        <f t="shared" ref="AB16:AB63" si="19">(AA16)-(Z16)</f>
        <v>0</v>
      </c>
      <c r="AC16" s="5">
        <f t="shared" ref="AC16:AD63" si="20">((((((((B16)+(E16))+(H16))+(K16))+(N16))+(Q16))+(T16))+(W16))+(Z16)</f>
        <v>0</v>
      </c>
      <c r="AD16" s="5">
        <f t="shared" si="20"/>
        <v>0</v>
      </c>
      <c r="AE16" s="5">
        <f t="shared" ref="AE16:AE63" si="21">(AD16)-(AC16)</f>
        <v>0</v>
      </c>
    </row>
    <row r="17" spans="1:31" x14ac:dyDescent="0.3">
      <c r="A17" s="3" t="s">
        <v>66</v>
      </c>
      <c r="B17" s="4"/>
      <c r="C17" s="5">
        <f>81.92</f>
        <v>81.92</v>
      </c>
      <c r="D17" s="5">
        <f t="shared" si="11"/>
        <v>81.92</v>
      </c>
      <c r="E17" s="4"/>
      <c r="F17" s="4"/>
      <c r="G17" s="5">
        <f t="shared" si="12"/>
        <v>0</v>
      </c>
      <c r="H17" s="4"/>
      <c r="I17" s="4"/>
      <c r="J17" s="5">
        <f t="shared" si="13"/>
        <v>0</v>
      </c>
      <c r="K17" s="4"/>
      <c r="L17" s="4"/>
      <c r="M17" s="5">
        <f t="shared" si="14"/>
        <v>0</v>
      </c>
      <c r="N17" s="4"/>
      <c r="O17" s="4"/>
      <c r="P17" s="5">
        <f t="shared" si="15"/>
        <v>0</v>
      </c>
      <c r="Q17" s="4"/>
      <c r="R17" s="4"/>
      <c r="S17" s="5">
        <f t="shared" si="16"/>
        <v>0</v>
      </c>
      <c r="T17" s="4"/>
      <c r="U17" s="4"/>
      <c r="V17" s="5">
        <f t="shared" si="17"/>
        <v>0</v>
      </c>
      <c r="W17" s="4"/>
      <c r="X17" s="4"/>
      <c r="Y17" s="5">
        <f t="shared" si="18"/>
        <v>0</v>
      </c>
      <c r="Z17" s="4"/>
      <c r="AA17" s="4"/>
      <c r="AB17" s="5">
        <f t="shared" si="19"/>
        <v>0</v>
      </c>
      <c r="AC17" s="5">
        <f t="shared" si="20"/>
        <v>0</v>
      </c>
      <c r="AD17" s="5">
        <f t="shared" si="20"/>
        <v>81.92</v>
      </c>
      <c r="AE17" s="5">
        <f t="shared" si="21"/>
        <v>81.92</v>
      </c>
    </row>
    <row r="18" spans="1:31" x14ac:dyDescent="0.3">
      <c r="A18" s="3" t="s">
        <v>67</v>
      </c>
      <c r="B18" s="4"/>
      <c r="C18" s="4"/>
      <c r="D18" s="5">
        <f t="shared" si="11"/>
        <v>0</v>
      </c>
      <c r="E18" s="4"/>
      <c r="F18" s="4"/>
      <c r="G18" s="5">
        <f t="shared" si="12"/>
        <v>0</v>
      </c>
      <c r="H18" s="4"/>
      <c r="I18" s="4"/>
      <c r="J18" s="5">
        <f t="shared" si="13"/>
        <v>0</v>
      </c>
      <c r="K18" s="4"/>
      <c r="L18" s="4"/>
      <c r="M18" s="5">
        <f t="shared" si="14"/>
        <v>0</v>
      </c>
      <c r="N18" s="4"/>
      <c r="O18" s="4"/>
      <c r="P18" s="5">
        <f t="shared" si="15"/>
        <v>0</v>
      </c>
      <c r="Q18" s="4"/>
      <c r="R18" s="4"/>
      <c r="S18" s="5">
        <f t="shared" si="16"/>
        <v>0</v>
      </c>
      <c r="T18" s="4"/>
      <c r="U18" s="4"/>
      <c r="V18" s="5">
        <f t="shared" si="17"/>
        <v>0</v>
      </c>
      <c r="W18" s="4"/>
      <c r="X18" s="4"/>
      <c r="Y18" s="5">
        <f t="shared" si="18"/>
        <v>0</v>
      </c>
      <c r="Z18" s="4"/>
      <c r="AA18" s="4"/>
      <c r="AB18" s="5">
        <f t="shared" si="19"/>
        <v>0</v>
      </c>
      <c r="AC18" s="5">
        <f t="shared" si="20"/>
        <v>0</v>
      </c>
      <c r="AD18" s="5">
        <f t="shared" si="20"/>
        <v>0</v>
      </c>
      <c r="AE18" s="5">
        <f t="shared" si="21"/>
        <v>0</v>
      </c>
    </row>
    <row r="19" spans="1:31" x14ac:dyDescent="0.3">
      <c r="A19" s="3" t="s">
        <v>68</v>
      </c>
      <c r="B19" s="5">
        <f>65.48</f>
        <v>65.48</v>
      </c>
      <c r="C19" s="5">
        <f>166.67</f>
        <v>166.67</v>
      </c>
      <c r="D19" s="5">
        <f t="shared" si="11"/>
        <v>101.18999999999998</v>
      </c>
      <c r="E19" s="4"/>
      <c r="F19" s="4"/>
      <c r="G19" s="5">
        <f t="shared" si="12"/>
        <v>0</v>
      </c>
      <c r="H19" s="4"/>
      <c r="I19" s="5">
        <f>0</f>
        <v>0</v>
      </c>
      <c r="J19" s="5">
        <f t="shared" si="13"/>
        <v>0</v>
      </c>
      <c r="K19" s="4"/>
      <c r="L19" s="4"/>
      <c r="M19" s="5">
        <f t="shared" si="14"/>
        <v>0</v>
      </c>
      <c r="N19" s="4"/>
      <c r="O19" s="4"/>
      <c r="P19" s="5">
        <f t="shared" si="15"/>
        <v>0</v>
      </c>
      <c r="Q19" s="4"/>
      <c r="R19" s="4"/>
      <c r="S19" s="5">
        <f t="shared" si="16"/>
        <v>0</v>
      </c>
      <c r="T19" s="4"/>
      <c r="U19" s="4"/>
      <c r="V19" s="5">
        <f t="shared" si="17"/>
        <v>0</v>
      </c>
      <c r="W19" s="4"/>
      <c r="X19" s="4"/>
      <c r="Y19" s="5">
        <f t="shared" si="18"/>
        <v>0</v>
      </c>
      <c r="Z19" s="5">
        <f>21.78</f>
        <v>21.78</v>
      </c>
      <c r="AA19" s="4"/>
      <c r="AB19" s="8">
        <f t="shared" si="19"/>
        <v>-21.78</v>
      </c>
      <c r="AC19" s="5">
        <f t="shared" si="20"/>
        <v>87.26</v>
      </c>
      <c r="AD19" s="5">
        <f t="shared" si="20"/>
        <v>166.67</v>
      </c>
      <c r="AE19" s="5">
        <f t="shared" si="21"/>
        <v>79.409999999999982</v>
      </c>
    </row>
    <row r="20" spans="1:31" x14ac:dyDescent="0.3">
      <c r="A20" s="3" t="s">
        <v>69</v>
      </c>
      <c r="B20" s="5">
        <f>33.35</f>
        <v>33.35</v>
      </c>
      <c r="C20" s="5">
        <f>41.67</f>
        <v>41.67</v>
      </c>
      <c r="D20" s="5">
        <f t="shared" si="11"/>
        <v>8.32</v>
      </c>
      <c r="E20" s="4"/>
      <c r="F20" s="4"/>
      <c r="G20" s="5">
        <f t="shared" si="12"/>
        <v>0</v>
      </c>
      <c r="H20" s="4"/>
      <c r="I20" s="4"/>
      <c r="J20" s="5">
        <f t="shared" si="13"/>
        <v>0</v>
      </c>
      <c r="K20" s="4"/>
      <c r="L20" s="4"/>
      <c r="M20" s="5">
        <f t="shared" si="14"/>
        <v>0</v>
      </c>
      <c r="N20" s="4"/>
      <c r="O20" s="4"/>
      <c r="P20" s="5">
        <f t="shared" si="15"/>
        <v>0</v>
      </c>
      <c r="Q20" s="4"/>
      <c r="R20" s="4"/>
      <c r="S20" s="5">
        <f t="shared" si="16"/>
        <v>0</v>
      </c>
      <c r="T20" s="4"/>
      <c r="U20" s="4"/>
      <c r="V20" s="5">
        <f t="shared" si="17"/>
        <v>0</v>
      </c>
      <c r="W20" s="4"/>
      <c r="X20" s="4"/>
      <c r="Y20" s="5">
        <f t="shared" si="18"/>
        <v>0</v>
      </c>
      <c r="Z20" s="4"/>
      <c r="AA20" s="4"/>
      <c r="AB20" s="5">
        <f t="shared" si="19"/>
        <v>0</v>
      </c>
      <c r="AC20" s="5">
        <f t="shared" si="20"/>
        <v>33.35</v>
      </c>
      <c r="AD20" s="5">
        <f t="shared" si="20"/>
        <v>41.67</v>
      </c>
      <c r="AE20" s="5">
        <f t="shared" si="21"/>
        <v>8.32</v>
      </c>
    </row>
    <row r="21" spans="1:31" x14ac:dyDescent="0.3">
      <c r="A21" s="3" t="s">
        <v>70</v>
      </c>
      <c r="B21" s="7">
        <f>((B18)+(B19))+(B20)</f>
        <v>98.830000000000013</v>
      </c>
      <c r="C21" s="7">
        <f>((C18)+(C19))+(C20)</f>
        <v>208.33999999999997</v>
      </c>
      <c r="D21" s="7">
        <f t="shared" si="11"/>
        <v>109.50999999999996</v>
      </c>
      <c r="E21" s="7">
        <f>((E18)+(E19))+(E20)</f>
        <v>0</v>
      </c>
      <c r="F21" s="7">
        <f>((F18)+(F19))+(F20)</f>
        <v>0</v>
      </c>
      <c r="G21" s="7">
        <f t="shared" si="12"/>
        <v>0</v>
      </c>
      <c r="H21" s="7">
        <f>((H18)+(H19))+(H20)</f>
        <v>0</v>
      </c>
      <c r="I21" s="7">
        <f>((I18)+(I19))+(I20)</f>
        <v>0</v>
      </c>
      <c r="J21" s="7">
        <f t="shared" si="13"/>
        <v>0</v>
      </c>
      <c r="K21" s="7">
        <f>((K18)+(K19))+(K20)</f>
        <v>0</v>
      </c>
      <c r="L21" s="7">
        <f>((L18)+(L19))+(L20)</f>
        <v>0</v>
      </c>
      <c r="M21" s="7">
        <f t="shared" si="14"/>
        <v>0</v>
      </c>
      <c r="N21" s="7">
        <f>((N18)+(N19))+(N20)</f>
        <v>0</v>
      </c>
      <c r="O21" s="7">
        <f>((O18)+(O19))+(O20)</f>
        <v>0</v>
      </c>
      <c r="P21" s="7">
        <f t="shared" si="15"/>
        <v>0</v>
      </c>
      <c r="Q21" s="7">
        <f>((Q18)+(Q19))+(Q20)</f>
        <v>0</v>
      </c>
      <c r="R21" s="7">
        <f>((R18)+(R19))+(R20)</f>
        <v>0</v>
      </c>
      <c r="S21" s="7">
        <f t="shared" si="16"/>
        <v>0</v>
      </c>
      <c r="T21" s="7">
        <f>((T18)+(T19))+(T20)</f>
        <v>0</v>
      </c>
      <c r="U21" s="7">
        <f>((U18)+(U19))+(U20)</f>
        <v>0</v>
      </c>
      <c r="V21" s="7">
        <f t="shared" si="17"/>
        <v>0</v>
      </c>
      <c r="W21" s="7">
        <f>((W18)+(W19))+(W20)</f>
        <v>0</v>
      </c>
      <c r="X21" s="7">
        <f>((X18)+(X19))+(X20)</f>
        <v>0</v>
      </c>
      <c r="Y21" s="7">
        <f t="shared" si="18"/>
        <v>0</v>
      </c>
      <c r="Z21" s="7">
        <f>((Z18)+(Z19))+(Z20)</f>
        <v>21.78</v>
      </c>
      <c r="AA21" s="7">
        <f>((AA18)+(AA19))+(AA20)</f>
        <v>0</v>
      </c>
      <c r="AB21" s="9">
        <f t="shared" si="19"/>
        <v>-21.78</v>
      </c>
      <c r="AC21" s="7">
        <f t="shared" si="20"/>
        <v>120.61000000000001</v>
      </c>
      <c r="AD21" s="7">
        <f t="shared" si="20"/>
        <v>208.33999999999997</v>
      </c>
      <c r="AE21" s="7">
        <f t="shared" si="21"/>
        <v>87.729999999999961</v>
      </c>
    </row>
    <row r="22" spans="1:31" x14ac:dyDescent="0.3">
      <c r="A22" s="3" t="s">
        <v>71</v>
      </c>
      <c r="B22" s="4"/>
      <c r="C22" s="4"/>
      <c r="D22" s="5">
        <f t="shared" si="11"/>
        <v>0</v>
      </c>
      <c r="E22" s="4"/>
      <c r="F22" s="4"/>
      <c r="G22" s="5">
        <f t="shared" si="12"/>
        <v>0</v>
      </c>
      <c r="H22" s="4"/>
      <c r="I22" s="5">
        <f>0</f>
        <v>0</v>
      </c>
      <c r="J22" s="5">
        <f t="shared" si="13"/>
        <v>0</v>
      </c>
      <c r="K22" s="4"/>
      <c r="L22" s="4"/>
      <c r="M22" s="5">
        <f t="shared" si="14"/>
        <v>0</v>
      </c>
      <c r="N22" s="4"/>
      <c r="O22" s="4"/>
      <c r="P22" s="5">
        <f t="shared" si="15"/>
        <v>0</v>
      </c>
      <c r="Q22" s="4"/>
      <c r="R22" s="4"/>
      <c r="S22" s="5">
        <f t="shared" si="16"/>
        <v>0</v>
      </c>
      <c r="T22" s="4"/>
      <c r="U22" s="4"/>
      <c r="V22" s="5">
        <f t="shared" si="17"/>
        <v>0</v>
      </c>
      <c r="W22" s="4"/>
      <c r="X22" s="4"/>
      <c r="Y22" s="5">
        <f t="shared" si="18"/>
        <v>0</v>
      </c>
      <c r="Z22" s="4"/>
      <c r="AA22" s="4"/>
      <c r="AB22" s="5">
        <f t="shared" si="19"/>
        <v>0</v>
      </c>
      <c r="AC22" s="5">
        <f t="shared" si="20"/>
        <v>0</v>
      </c>
      <c r="AD22" s="5">
        <f t="shared" si="20"/>
        <v>0</v>
      </c>
      <c r="AE22" s="5">
        <f t="shared" si="21"/>
        <v>0</v>
      </c>
    </row>
    <row r="23" spans="1:31" x14ac:dyDescent="0.3">
      <c r="A23" s="3" t="s">
        <v>72</v>
      </c>
      <c r="B23" s="4"/>
      <c r="C23" s="4"/>
      <c r="D23" s="5">
        <f t="shared" si="11"/>
        <v>0</v>
      </c>
      <c r="E23" s="4"/>
      <c r="F23" s="4"/>
      <c r="G23" s="5">
        <f t="shared" si="12"/>
        <v>0</v>
      </c>
      <c r="H23" s="5">
        <f>260</f>
        <v>260</v>
      </c>
      <c r="I23" s="5">
        <f>375</f>
        <v>375</v>
      </c>
      <c r="J23" s="5">
        <f t="shared" si="13"/>
        <v>115</v>
      </c>
      <c r="K23" s="4"/>
      <c r="L23" s="4"/>
      <c r="M23" s="5">
        <f t="shared" si="14"/>
        <v>0</v>
      </c>
      <c r="N23" s="4"/>
      <c r="O23" s="4"/>
      <c r="P23" s="5">
        <f t="shared" si="15"/>
        <v>0</v>
      </c>
      <c r="Q23" s="4"/>
      <c r="R23" s="4"/>
      <c r="S23" s="5">
        <f t="shared" si="16"/>
        <v>0</v>
      </c>
      <c r="T23" s="4"/>
      <c r="U23" s="4"/>
      <c r="V23" s="5">
        <f t="shared" si="17"/>
        <v>0</v>
      </c>
      <c r="W23" s="4"/>
      <c r="X23" s="4"/>
      <c r="Y23" s="5">
        <f t="shared" si="18"/>
        <v>0</v>
      </c>
      <c r="Z23" s="4"/>
      <c r="AA23" s="4"/>
      <c r="AB23" s="5">
        <f t="shared" si="19"/>
        <v>0</v>
      </c>
      <c r="AC23" s="5">
        <f t="shared" si="20"/>
        <v>260</v>
      </c>
      <c r="AD23" s="5">
        <f t="shared" si="20"/>
        <v>375</v>
      </c>
      <c r="AE23" s="5">
        <f t="shared" si="21"/>
        <v>115</v>
      </c>
    </row>
    <row r="24" spans="1:31" x14ac:dyDescent="0.3">
      <c r="A24" s="3" t="s">
        <v>73</v>
      </c>
      <c r="B24" s="4"/>
      <c r="C24" s="4"/>
      <c r="D24" s="5">
        <f t="shared" si="11"/>
        <v>0</v>
      </c>
      <c r="E24" s="4"/>
      <c r="F24" s="4"/>
      <c r="G24" s="5">
        <f t="shared" si="12"/>
        <v>0</v>
      </c>
      <c r="H24" s="4"/>
      <c r="I24" s="5">
        <f>333.33</f>
        <v>333.33</v>
      </c>
      <c r="J24" s="5">
        <f t="shared" si="13"/>
        <v>333.33</v>
      </c>
      <c r="K24" s="4"/>
      <c r="L24" s="4"/>
      <c r="M24" s="5">
        <f t="shared" si="14"/>
        <v>0</v>
      </c>
      <c r="N24" s="4"/>
      <c r="O24" s="4"/>
      <c r="P24" s="5">
        <f t="shared" si="15"/>
        <v>0</v>
      </c>
      <c r="Q24" s="4"/>
      <c r="R24" s="4"/>
      <c r="S24" s="5">
        <f t="shared" si="16"/>
        <v>0</v>
      </c>
      <c r="T24" s="4"/>
      <c r="U24" s="4"/>
      <c r="V24" s="5">
        <f t="shared" si="17"/>
        <v>0</v>
      </c>
      <c r="W24" s="4"/>
      <c r="X24" s="4"/>
      <c r="Y24" s="5">
        <f t="shared" si="18"/>
        <v>0</v>
      </c>
      <c r="Z24" s="4"/>
      <c r="AA24" s="4"/>
      <c r="AB24" s="5">
        <f t="shared" si="19"/>
        <v>0</v>
      </c>
      <c r="AC24" s="5">
        <f t="shared" si="20"/>
        <v>0</v>
      </c>
      <c r="AD24" s="5">
        <f t="shared" si="20"/>
        <v>333.33</v>
      </c>
      <c r="AE24" s="5">
        <f t="shared" si="21"/>
        <v>333.33</v>
      </c>
    </row>
    <row r="25" spans="1:31" x14ac:dyDescent="0.3">
      <c r="A25" s="3" t="s">
        <v>74</v>
      </c>
      <c r="B25" s="7">
        <f>((B22)+(B23))+(B24)</f>
        <v>0</v>
      </c>
      <c r="C25" s="7">
        <f>((C22)+(C23))+(C24)</f>
        <v>0</v>
      </c>
      <c r="D25" s="7">
        <f t="shared" si="11"/>
        <v>0</v>
      </c>
      <c r="E25" s="7">
        <f>((E22)+(E23))+(E24)</f>
        <v>0</v>
      </c>
      <c r="F25" s="7">
        <f>((F22)+(F23))+(F24)</f>
        <v>0</v>
      </c>
      <c r="G25" s="7">
        <f t="shared" si="12"/>
        <v>0</v>
      </c>
      <c r="H25" s="7">
        <f>((H22)+(H23))+(H24)</f>
        <v>260</v>
      </c>
      <c r="I25" s="7">
        <f>((I22)+(I23))+(I24)</f>
        <v>708.32999999999993</v>
      </c>
      <c r="J25" s="7">
        <f t="shared" si="13"/>
        <v>448.32999999999993</v>
      </c>
      <c r="K25" s="7">
        <f>((K22)+(K23))+(K24)</f>
        <v>0</v>
      </c>
      <c r="L25" s="7">
        <f>((L22)+(L23))+(L24)</f>
        <v>0</v>
      </c>
      <c r="M25" s="7">
        <f t="shared" si="14"/>
        <v>0</v>
      </c>
      <c r="N25" s="7">
        <f>((N22)+(N23))+(N24)</f>
        <v>0</v>
      </c>
      <c r="O25" s="7">
        <f>((O22)+(O23))+(O24)</f>
        <v>0</v>
      </c>
      <c r="P25" s="7">
        <f t="shared" si="15"/>
        <v>0</v>
      </c>
      <c r="Q25" s="7">
        <f>((Q22)+(Q23))+(Q24)</f>
        <v>0</v>
      </c>
      <c r="R25" s="7">
        <f>((R22)+(R23))+(R24)</f>
        <v>0</v>
      </c>
      <c r="S25" s="7">
        <f t="shared" si="16"/>
        <v>0</v>
      </c>
      <c r="T25" s="7">
        <f>((T22)+(T23))+(T24)</f>
        <v>0</v>
      </c>
      <c r="U25" s="7">
        <f>((U22)+(U23))+(U24)</f>
        <v>0</v>
      </c>
      <c r="V25" s="7">
        <f t="shared" si="17"/>
        <v>0</v>
      </c>
      <c r="W25" s="7">
        <f>((W22)+(W23))+(W24)</f>
        <v>0</v>
      </c>
      <c r="X25" s="7">
        <f>((X22)+(X23))+(X24)</f>
        <v>0</v>
      </c>
      <c r="Y25" s="7">
        <f t="shared" si="18"/>
        <v>0</v>
      </c>
      <c r="Z25" s="7">
        <f>((Z22)+(Z23))+(Z24)</f>
        <v>0</v>
      </c>
      <c r="AA25" s="7">
        <f>((AA22)+(AA23))+(AA24)</f>
        <v>0</v>
      </c>
      <c r="AB25" s="7">
        <f t="shared" si="19"/>
        <v>0</v>
      </c>
      <c r="AC25" s="7">
        <f t="shared" si="20"/>
        <v>260</v>
      </c>
      <c r="AD25" s="7">
        <f t="shared" si="20"/>
        <v>708.32999999999993</v>
      </c>
      <c r="AE25" s="7">
        <f t="shared" si="21"/>
        <v>448.32999999999993</v>
      </c>
    </row>
    <row r="26" spans="1:31" x14ac:dyDescent="0.3">
      <c r="A26" s="3" t="s">
        <v>75</v>
      </c>
      <c r="B26" s="4"/>
      <c r="C26" s="4"/>
      <c r="D26" s="5">
        <f t="shared" si="11"/>
        <v>0</v>
      </c>
      <c r="E26" s="4"/>
      <c r="F26" s="4"/>
      <c r="G26" s="5">
        <f t="shared" si="12"/>
        <v>0</v>
      </c>
      <c r="H26" s="4"/>
      <c r="I26" s="4"/>
      <c r="J26" s="5">
        <f t="shared" si="13"/>
        <v>0</v>
      </c>
      <c r="K26" s="4"/>
      <c r="L26" s="4"/>
      <c r="M26" s="5">
        <f t="shared" si="14"/>
        <v>0</v>
      </c>
      <c r="N26" s="4"/>
      <c r="O26" s="4"/>
      <c r="P26" s="5">
        <f t="shared" si="15"/>
        <v>0</v>
      </c>
      <c r="Q26" s="4"/>
      <c r="R26" s="4"/>
      <c r="S26" s="5">
        <f t="shared" si="16"/>
        <v>0</v>
      </c>
      <c r="T26" s="4"/>
      <c r="U26" s="4"/>
      <c r="V26" s="5">
        <f t="shared" si="17"/>
        <v>0</v>
      </c>
      <c r="W26" s="4"/>
      <c r="X26" s="4"/>
      <c r="Y26" s="5">
        <f t="shared" si="18"/>
        <v>0</v>
      </c>
      <c r="Z26" s="4"/>
      <c r="AA26" s="4"/>
      <c r="AB26" s="5">
        <f t="shared" si="19"/>
        <v>0</v>
      </c>
      <c r="AC26" s="5">
        <f t="shared" si="20"/>
        <v>0</v>
      </c>
      <c r="AD26" s="5">
        <f t="shared" si="20"/>
        <v>0</v>
      </c>
      <c r="AE26" s="5">
        <f t="shared" si="21"/>
        <v>0</v>
      </c>
    </row>
    <row r="27" spans="1:31" x14ac:dyDescent="0.3">
      <c r="A27" s="3" t="s">
        <v>76</v>
      </c>
      <c r="B27" s="4"/>
      <c r="C27" s="5">
        <f>18.42</f>
        <v>18.420000000000002</v>
      </c>
      <c r="D27" s="5">
        <f t="shared" si="11"/>
        <v>18.420000000000002</v>
      </c>
      <c r="E27" s="4"/>
      <c r="F27" s="4"/>
      <c r="G27" s="5">
        <f t="shared" si="12"/>
        <v>0</v>
      </c>
      <c r="H27" s="4"/>
      <c r="I27" s="4"/>
      <c r="J27" s="5">
        <f t="shared" si="13"/>
        <v>0</v>
      </c>
      <c r="K27" s="4"/>
      <c r="L27" s="4"/>
      <c r="M27" s="5">
        <f t="shared" si="14"/>
        <v>0</v>
      </c>
      <c r="N27" s="4"/>
      <c r="O27" s="4"/>
      <c r="P27" s="5">
        <f t="shared" si="15"/>
        <v>0</v>
      </c>
      <c r="Q27" s="4"/>
      <c r="R27" s="4"/>
      <c r="S27" s="5">
        <f t="shared" si="16"/>
        <v>0</v>
      </c>
      <c r="T27" s="4"/>
      <c r="U27" s="4"/>
      <c r="V27" s="5">
        <f t="shared" si="17"/>
        <v>0</v>
      </c>
      <c r="W27" s="4"/>
      <c r="X27" s="4"/>
      <c r="Y27" s="5">
        <f t="shared" si="18"/>
        <v>0</v>
      </c>
      <c r="Z27" s="4"/>
      <c r="AA27" s="4"/>
      <c r="AB27" s="5">
        <f t="shared" si="19"/>
        <v>0</v>
      </c>
      <c r="AC27" s="5">
        <f t="shared" si="20"/>
        <v>0</v>
      </c>
      <c r="AD27" s="5">
        <f t="shared" si="20"/>
        <v>18.420000000000002</v>
      </c>
      <c r="AE27" s="5">
        <f t="shared" si="21"/>
        <v>18.420000000000002</v>
      </c>
    </row>
    <row r="28" spans="1:31" x14ac:dyDescent="0.3">
      <c r="A28" s="3" t="s">
        <v>77</v>
      </c>
      <c r="B28" s="5">
        <f>280.41</f>
        <v>280.41000000000003</v>
      </c>
      <c r="C28" s="5">
        <f>142.67</f>
        <v>142.66999999999999</v>
      </c>
      <c r="D28" s="8">
        <f t="shared" si="11"/>
        <v>-137.74000000000004</v>
      </c>
      <c r="E28" s="4"/>
      <c r="F28" s="4"/>
      <c r="G28" s="5">
        <f t="shared" si="12"/>
        <v>0</v>
      </c>
      <c r="H28" s="4"/>
      <c r="I28" s="4"/>
      <c r="J28" s="5">
        <f t="shared" si="13"/>
        <v>0</v>
      </c>
      <c r="K28" s="4"/>
      <c r="L28" s="4"/>
      <c r="M28" s="5">
        <f t="shared" si="14"/>
        <v>0</v>
      </c>
      <c r="N28" s="4"/>
      <c r="O28" s="4"/>
      <c r="P28" s="5">
        <f t="shared" si="15"/>
        <v>0</v>
      </c>
      <c r="Q28" s="4"/>
      <c r="R28" s="4"/>
      <c r="S28" s="5">
        <f t="shared" si="16"/>
        <v>0</v>
      </c>
      <c r="T28" s="4"/>
      <c r="U28" s="4"/>
      <c r="V28" s="5">
        <f t="shared" si="17"/>
        <v>0</v>
      </c>
      <c r="W28" s="4"/>
      <c r="X28" s="4"/>
      <c r="Y28" s="5">
        <f t="shared" si="18"/>
        <v>0</v>
      </c>
      <c r="Z28" s="4"/>
      <c r="AA28" s="4"/>
      <c r="AB28" s="5">
        <f t="shared" si="19"/>
        <v>0</v>
      </c>
      <c r="AC28" s="5">
        <f t="shared" si="20"/>
        <v>280.41000000000003</v>
      </c>
      <c r="AD28" s="5">
        <f t="shared" si="20"/>
        <v>142.66999999999999</v>
      </c>
      <c r="AE28" s="8">
        <f t="shared" si="21"/>
        <v>-137.74000000000004</v>
      </c>
    </row>
    <row r="29" spans="1:31" x14ac:dyDescent="0.3">
      <c r="A29" s="3" t="s">
        <v>78</v>
      </c>
      <c r="B29" s="5">
        <f>221</f>
        <v>221</v>
      </c>
      <c r="C29" s="5">
        <f>230</f>
        <v>230</v>
      </c>
      <c r="D29" s="5">
        <f t="shared" si="11"/>
        <v>9</v>
      </c>
      <c r="E29" s="4"/>
      <c r="F29" s="4"/>
      <c r="G29" s="5">
        <f t="shared" si="12"/>
        <v>0</v>
      </c>
      <c r="H29" s="4"/>
      <c r="I29" s="4"/>
      <c r="J29" s="5">
        <f t="shared" si="13"/>
        <v>0</v>
      </c>
      <c r="K29" s="4"/>
      <c r="L29" s="4"/>
      <c r="M29" s="5">
        <f t="shared" si="14"/>
        <v>0</v>
      </c>
      <c r="N29" s="4"/>
      <c r="O29" s="4"/>
      <c r="P29" s="5">
        <f t="shared" si="15"/>
        <v>0</v>
      </c>
      <c r="Q29" s="4"/>
      <c r="R29" s="4"/>
      <c r="S29" s="5">
        <f t="shared" si="16"/>
        <v>0</v>
      </c>
      <c r="T29" s="4"/>
      <c r="U29" s="4"/>
      <c r="V29" s="5">
        <f t="shared" si="17"/>
        <v>0</v>
      </c>
      <c r="W29" s="4"/>
      <c r="X29" s="4"/>
      <c r="Y29" s="5">
        <f t="shared" si="18"/>
        <v>0</v>
      </c>
      <c r="Z29" s="4"/>
      <c r="AA29" s="4"/>
      <c r="AB29" s="5">
        <f t="shared" si="19"/>
        <v>0</v>
      </c>
      <c r="AC29" s="5">
        <f t="shared" si="20"/>
        <v>221</v>
      </c>
      <c r="AD29" s="5">
        <f t="shared" si="20"/>
        <v>230</v>
      </c>
      <c r="AE29" s="5">
        <f t="shared" si="21"/>
        <v>9</v>
      </c>
    </row>
    <row r="30" spans="1:31" x14ac:dyDescent="0.3">
      <c r="A30" s="3" t="s">
        <v>79</v>
      </c>
      <c r="B30" s="5">
        <f>27.94</f>
        <v>27.94</v>
      </c>
      <c r="C30" s="5">
        <f>41.67</f>
        <v>41.67</v>
      </c>
      <c r="D30" s="5">
        <f t="shared" si="11"/>
        <v>13.73</v>
      </c>
      <c r="E30" s="4"/>
      <c r="F30" s="4"/>
      <c r="G30" s="5">
        <f t="shared" si="12"/>
        <v>0</v>
      </c>
      <c r="H30" s="4"/>
      <c r="I30" s="4"/>
      <c r="J30" s="5">
        <f t="shared" si="13"/>
        <v>0</v>
      </c>
      <c r="K30" s="4"/>
      <c r="L30" s="4"/>
      <c r="M30" s="5">
        <f t="shared" si="14"/>
        <v>0</v>
      </c>
      <c r="N30" s="4"/>
      <c r="O30" s="4"/>
      <c r="P30" s="5">
        <f t="shared" si="15"/>
        <v>0</v>
      </c>
      <c r="Q30" s="4"/>
      <c r="R30" s="4"/>
      <c r="S30" s="5">
        <f t="shared" si="16"/>
        <v>0</v>
      </c>
      <c r="T30" s="4"/>
      <c r="U30" s="4"/>
      <c r="V30" s="5">
        <f t="shared" si="17"/>
        <v>0</v>
      </c>
      <c r="W30" s="4"/>
      <c r="X30" s="4"/>
      <c r="Y30" s="5">
        <f t="shared" si="18"/>
        <v>0</v>
      </c>
      <c r="Z30" s="4"/>
      <c r="AA30" s="4"/>
      <c r="AB30" s="5">
        <f t="shared" si="19"/>
        <v>0</v>
      </c>
      <c r="AC30" s="5">
        <f t="shared" si="20"/>
        <v>27.94</v>
      </c>
      <c r="AD30" s="5">
        <f t="shared" si="20"/>
        <v>41.67</v>
      </c>
      <c r="AE30" s="5">
        <f t="shared" si="21"/>
        <v>13.73</v>
      </c>
    </row>
    <row r="31" spans="1:31" x14ac:dyDescent="0.3">
      <c r="A31" s="3" t="s">
        <v>80</v>
      </c>
      <c r="B31" s="7">
        <f>((((B26)+(B27))+(B28))+(B29))+(B30)</f>
        <v>529.35</v>
      </c>
      <c r="C31" s="7">
        <f>((((C26)+(C27))+(C28))+(C29))+(C30)</f>
        <v>432.76</v>
      </c>
      <c r="D31" s="9">
        <f t="shared" si="11"/>
        <v>-96.590000000000032</v>
      </c>
      <c r="E31" s="7">
        <f>((((E26)+(E27))+(E28))+(E29))+(E30)</f>
        <v>0</v>
      </c>
      <c r="F31" s="7">
        <f>((((F26)+(F27))+(F28))+(F29))+(F30)</f>
        <v>0</v>
      </c>
      <c r="G31" s="7">
        <f t="shared" si="12"/>
        <v>0</v>
      </c>
      <c r="H31" s="7">
        <f>((((H26)+(H27))+(H28))+(H29))+(H30)</f>
        <v>0</v>
      </c>
      <c r="I31" s="7">
        <f>((((I26)+(I27))+(I28))+(I29))+(I30)</f>
        <v>0</v>
      </c>
      <c r="J31" s="7">
        <f t="shared" si="13"/>
        <v>0</v>
      </c>
      <c r="K31" s="7">
        <f>((((K26)+(K27))+(K28))+(K29))+(K30)</f>
        <v>0</v>
      </c>
      <c r="L31" s="7">
        <f>((((L26)+(L27))+(L28))+(L29))+(L30)</f>
        <v>0</v>
      </c>
      <c r="M31" s="7">
        <f t="shared" si="14"/>
        <v>0</v>
      </c>
      <c r="N31" s="7">
        <f>((((N26)+(N27))+(N28))+(N29))+(N30)</f>
        <v>0</v>
      </c>
      <c r="O31" s="7">
        <f>((((O26)+(O27))+(O28))+(O29))+(O30)</f>
        <v>0</v>
      </c>
      <c r="P31" s="7">
        <f t="shared" si="15"/>
        <v>0</v>
      </c>
      <c r="Q31" s="7">
        <f>((((Q26)+(Q27))+(Q28))+(Q29))+(Q30)</f>
        <v>0</v>
      </c>
      <c r="R31" s="7">
        <f>((((R26)+(R27))+(R28))+(R29))+(R30)</f>
        <v>0</v>
      </c>
      <c r="S31" s="7">
        <f t="shared" si="16"/>
        <v>0</v>
      </c>
      <c r="T31" s="7">
        <f>((((T26)+(T27))+(T28))+(T29))+(T30)</f>
        <v>0</v>
      </c>
      <c r="U31" s="7">
        <f>((((U26)+(U27))+(U28))+(U29))+(U30)</f>
        <v>0</v>
      </c>
      <c r="V31" s="7">
        <f t="shared" si="17"/>
        <v>0</v>
      </c>
      <c r="W31" s="7">
        <f>((((W26)+(W27))+(W28))+(W29))+(W30)</f>
        <v>0</v>
      </c>
      <c r="X31" s="7">
        <f>((((X26)+(X27))+(X28))+(X29))+(X30)</f>
        <v>0</v>
      </c>
      <c r="Y31" s="7">
        <f t="shared" si="18"/>
        <v>0</v>
      </c>
      <c r="Z31" s="7">
        <f>((((Z26)+(Z27))+(Z28))+(Z29))+(Z30)</f>
        <v>0</v>
      </c>
      <c r="AA31" s="7">
        <f>((((AA26)+(AA27))+(AA28))+(AA29))+(AA30)</f>
        <v>0</v>
      </c>
      <c r="AB31" s="7">
        <f t="shared" si="19"/>
        <v>0</v>
      </c>
      <c r="AC31" s="7">
        <f t="shared" si="20"/>
        <v>529.35</v>
      </c>
      <c r="AD31" s="7">
        <f t="shared" si="20"/>
        <v>432.76</v>
      </c>
      <c r="AE31" s="9">
        <f t="shared" si="21"/>
        <v>-96.590000000000032</v>
      </c>
    </row>
    <row r="32" spans="1:31" x14ac:dyDescent="0.3">
      <c r="A32" s="3" t="s">
        <v>81</v>
      </c>
      <c r="B32" s="4"/>
      <c r="C32" s="4"/>
      <c r="D32" s="5">
        <f t="shared" si="11"/>
        <v>0</v>
      </c>
      <c r="E32" s="4"/>
      <c r="F32" s="4"/>
      <c r="G32" s="5">
        <f t="shared" si="12"/>
        <v>0</v>
      </c>
      <c r="H32" s="4"/>
      <c r="I32" s="4"/>
      <c r="J32" s="5">
        <f t="shared" si="13"/>
        <v>0</v>
      </c>
      <c r="K32" s="4"/>
      <c r="L32" s="4"/>
      <c r="M32" s="5">
        <f t="shared" si="14"/>
        <v>0</v>
      </c>
      <c r="N32" s="4"/>
      <c r="O32" s="4"/>
      <c r="P32" s="5">
        <f t="shared" si="15"/>
        <v>0</v>
      </c>
      <c r="Q32" s="4"/>
      <c r="R32" s="4"/>
      <c r="S32" s="5">
        <f t="shared" si="16"/>
        <v>0</v>
      </c>
      <c r="T32" s="4"/>
      <c r="U32" s="4"/>
      <c r="V32" s="5">
        <f t="shared" si="17"/>
        <v>0</v>
      </c>
      <c r="W32" s="4"/>
      <c r="X32" s="4"/>
      <c r="Y32" s="5">
        <f t="shared" si="18"/>
        <v>0</v>
      </c>
      <c r="Z32" s="4"/>
      <c r="AA32" s="4"/>
      <c r="AB32" s="5">
        <f t="shared" si="19"/>
        <v>0</v>
      </c>
      <c r="AC32" s="5">
        <f t="shared" si="20"/>
        <v>0</v>
      </c>
      <c r="AD32" s="5">
        <f t="shared" si="20"/>
        <v>0</v>
      </c>
      <c r="AE32" s="5">
        <f t="shared" si="21"/>
        <v>0</v>
      </c>
    </row>
    <row r="33" spans="1:31" x14ac:dyDescent="0.3">
      <c r="A33" s="3" t="s">
        <v>82</v>
      </c>
      <c r="B33" s="5">
        <f>104.59</f>
        <v>104.59</v>
      </c>
      <c r="C33" s="5">
        <f>109.69</f>
        <v>109.69</v>
      </c>
      <c r="D33" s="5">
        <f t="shared" si="11"/>
        <v>5.0999999999999943</v>
      </c>
      <c r="E33" s="5">
        <f>104.59</f>
        <v>104.59</v>
      </c>
      <c r="F33" s="5">
        <f>109.69</f>
        <v>109.69</v>
      </c>
      <c r="G33" s="5">
        <f t="shared" si="12"/>
        <v>5.0999999999999943</v>
      </c>
      <c r="H33" s="5">
        <f>104.59</f>
        <v>104.59</v>
      </c>
      <c r="I33" s="5">
        <f>109.69</f>
        <v>109.69</v>
      </c>
      <c r="J33" s="5">
        <f t="shared" si="13"/>
        <v>5.0999999999999943</v>
      </c>
      <c r="K33" s="4"/>
      <c r="L33" s="4"/>
      <c r="M33" s="5">
        <f t="shared" si="14"/>
        <v>0</v>
      </c>
      <c r="N33" s="4"/>
      <c r="O33" s="4"/>
      <c r="P33" s="5">
        <f t="shared" si="15"/>
        <v>0</v>
      </c>
      <c r="Q33" s="5">
        <f>2196.21</f>
        <v>2196.21</v>
      </c>
      <c r="R33" s="5">
        <f>2303.42</f>
        <v>2303.42</v>
      </c>
      <c r="S33" s="5">
        <f t="shared" si="16"/>
        <v>107.21000000000004</v>
      </c>
      <c r="T33" s="5">
        <f>104.59</f>
        <v>104.59</v>
      </c>
      <c r="U33" s="5">
        <f>109.69</f>
        <v>109.69</v>
      </c>
      <c r="V33" s="5">
        <f t="shared" si="17"/>
        <v>5.0999999999999943</v>
      </c>
      <c r="W33" s="5">
        <f>7843.53</f>
        <v>7843.53</v>
      </c>
      <c r="X33" s="5">
        <f>8226.49</f>
        <v>8226.49</v>
      </c>
      <c r="Y33" s="5">
        <f t="shared" si="18"/>
        <v>382.96000000000004</v>
      </c>
      <c r="Z33" s="4"/>
      <c r="AA33" s="4"/>
      <c r="AB33" s="5">
        <f t="shared" si="19"/>
        <v>0</v>
      </c>
      <c r="AC33" s="5">
        <f t="shared" si="20"/>
        <v>10458.1</v>
      </c>
      <c r="AD33" s="5">
        <f t="shared" si="20"/>
        <v>10968.67</v>
      </c>
      <c r="AE33" s="5">
        <f t="shared" si="21"/>
        <v>510.56999999999971</v>
      </c>
    </row>
    <row r="34" spans="1:31" x14ac:dyDescent="0.3">
      <c r="A34" s="3" t="s">
        <v>83</v>
      </c>
      <c r="B34" s="5">
        <f>21.39</f>
        <v>21.39</v>
      </c>
      <c r="C34" s="5">
        <f>13.09</f>
        <v>13.09</v>
      </c>
      <c r="D34" s="8">
        <f t="shared" si="11"/>
        <v>-8.3000000000000007</v>
      </c>
      <c r="E34" s="5">
        <f>21.39</f>
        <v>21.39</v>
      </c>
      <c r="F34" s="5">
        <f>13.09</f>
        <v>13.09</v>
      </c>
      <c r="G34" s="8">
        <f t="shared" si="12"/>
        <v>-8.3000000000000007</v>
      </c>
      <c r="H34" s="5">
        <f>21.39</f>
        <v>21.39</v>
      </c>
      <c r="I34" s="5">
        <f>13.09</f>
        <v>13.09</v>
      </c>
      <c r="J34" s="8">
        <f t="shared" si="13"/>
        <v>-8.3000000000000007</v>
      </c>
      <c r="K34" s="4"/>
      <c r="L34" s="4"/>
      <c r="M34" s="5">
        <f t="shared" si="14"/>
        <v>0</v>
      </c>
      <c r="N34" s="4"/>
      <c r="O34" s="4"/>
      <c r="P34" s="5">
        <f t="shared" si="15"/>
        <v>0</v>
      </c>
      <c r="Q34" s="5">
        <f>449.29</f>
        <v>449.29</v>
      </c>
      <c r="R34" s="5">
        <f>274.94</f>
        <v>274.94</v>
      </c>
      <c r="S34" s="8">
        <f t="shared" si="16"/>
        <v>-174.35000000000002</v>
      </c>
      <c r="T34" s="5">
        <f>21.39</f>
        <v>21.39</v>
      </c>
      <c r="U34" s="5">
        <f>13.09</f>
        <v>13.09</v>
      </c>
      <c r="V34" s="8">
        <f t="shared" si="17"/>
        <v>-8.3000000000000007</v>
      </c>
      <c r="W34" s="5">
        <f>1604.63</f>
        <v>1604.63</v>
      </c>
      <c r="X34" s="5">
        <f>981.94</f>
        <v>981.94</v>
      </c>
      <c r="Y34" s="8">
        <f t="shared" si="18"/>
        <v>-622.69000000000005</v>
      </c>
      <c r="Z34" s="4"/>
      <c r="AA34" s="4"/>
      <c r="AB34" s="5">
        <f t="shared" si="19"/>
        <v>0</v>
      </c>
      <c r="AC34" s="5">
        <f t="shared" si="20"/>
        <v>2139.48</v>
      </c>
      <c r="AD34" s="5">
        <f t="shared" si="20"/>
        <v>1309.24</v>
      </c>
      <c r="AE34" s="8">
        <f t="shared" si="21"/>
        <v>-830.24</v>
      </c>
    </row>
    <row r="35" spans="1:31" x14ac:dyDescent="0.3">
      <c r="A35" s="3" t="s">
        <v>84</v>
      </c>
      <c r="B35" s="4"/>
      <c r="C35" s="5">
        <f>2</f>
        <v>2</v>
      </c>
      <c r="D35" s="5">
        <f t="shared" si="11"/>
        <v>2</v>
      </c>
      <c r="E35" s="4"/>
      <c r="F35" s="5">
        <f>2</f>
        <v>2</v>
      </c>
      <c r="G35" s="5">
        <f t="shared" si="12"/>
        <v>2</v>
      </c>
      <c r="H35" s="4"/>
      <c r="I35" s="5">
        <f>2</f>
        <v>2</v>
      </c>
      <c r="J35" s="5">
        <f t="shared" si="13"/>
        <v>2</v>
      </c>
      <c r="K35" s="4"/>
      <c r="L35" s="4"/>
      <c r="M35" s="5">
        <f t="shared" si="14"/>
        <v>0</v>
      </c>
      <c r="N35" s="4"/>
      <c r="O35" s="4"/>
      <c r="P35" s="5">
        <f t="shared" si="15"/>
        <v>0</v>
      </c>
      <c r="Q35" s="4"/>
      <c r="R35" s="5">
        <f>42</f>
        <v>42</v>
      </c>
      <c r="S35" s="5">
        <f t="shared" si="16"/>
        <v>42</v>
      </c>
      <c r="T35" s="4"/>
      <c r="U35" s="5">
        <f>2</f>
        <v>2</v>
      </c>
      <c r="V35" s="5">
        <f t="shared" si="17"/>
        <v>2</v>
      </c>
      <c r="W35" s="4"/>
      <c r="X35" s="5">
        <f>150</f>
        <v>150</v>
      </c>
      <c r="Y35" s="5">
        <f t="shared" si="18"/>
        <v>150</v>
      </c>
      <c r="Z35" s="4"/>
      <c r="AA35" s="4"/>
      <c r="AB35" s="5">
        <f t="shared" si="19"/>
        <v>0</v>
      </c>
      <c r="AC35" s="5">
        <f t="shared" si="20"/>
        <v>0</v>
      </c>
      <c r="AD35" s="5">
        <f t="shared" si="20"/>
        <v>200</v>
      </c>
      <c r="AE35" s="5">
        <f t="shared" si="21"/>
        <v>200</v>
      </c>
    </row>
    <row r="36" spans="1:31" x14ac:dyDescent="0.3">
      <c r="A36" s="3" t="s">
        <v>85</v>
      </c>
      <c r="B36" s="8">
        <f>-619</f>
        <v>-619</v>
      </c>
      <c r="C36" s="5">
        <f>66.67</f>
        <v>66.67</v>
      </c>
      <c r="D36" s="5">
        <f t="shared" si="11"/>
        <v>685.67</v>
      </c>
      <c r="E36" s="4"/>
      <c r="F36" s="4"/>
      <c r="G36" s="5">
        <f t="shared" si="12"/>
        <v>0</v>
      </c>
      <c r="H36" s="4"/>
      <c r="I36" s="4"/>
      <c r="J36" s="5">
        <f t="shared" si="13"/>
        <v>0</v>
      </c>
      <c r="K36" s="4"/>
      <c r="L36" s="4"/>
      <c r="M36" s="5">
        <f t="shared" si="14"/>
        <v>0</v>
      </c>
      <c r="N36" s="4"/>
      <c r="O36" s="4"/>
      <c r="P36" s="5">
        <f t="shared" si="15"/>
        <v>0</v>
      </c>
      <c r="Q36" s="4"/>
      <c r="R36" s="4"/>
      <c r="S36" s="5">
        <f t="shared" si="16"/>
        <v>0</v>
      </c>
      <c r="T36" s="4"/>
      <c r="U36" s="4"/>
      <c r="V36" s="5">
        <f t="shared" si="17"/>
        <v>0</v>
      </c>
      <c r="W36" s="4"/>
      <c r="X36" s="4"/>
      <c r="Y36" s="5">
        <f t="shared" si="18"/>
        <v>0</v>
      </c>
      <c r="Z36" s="4"/>
      <c r="AA36" s="4"/>
      <c r="AB36" s="5">
        <f t="shared" si="19"/>
        <v>0</v>
      </c>
      <c r="AC36" s="8">
        <f t="shared" si="20"/>
        <v>-619</v>
      </c>
      <c r="AD36" s="5">
        <f t="shared" si="20"/>
        <v>66.67</v>
      </c>
      <c r="AE36" s="5">
        <f t="shared" si="21"/>
        <v>685.67</v>
      </c>
    </row>
    <row r="37" spans="1:31" x14ac:dyDescent="0.3">
      <c r="A37" s="3" t="s">
        <v>86</v>
      </c>
      <c r="B37" s="9">
        <f>((((B32)+(B33))+(B34))+(B35))+(B36)</f>
        <v>-493.02</v>
      </c>
      <c r="C37" s="7">
        <f>((((C32)+(C33))+(C34))+(C35))+(C36)</f>
        <v>191.45</v>
      </c>
      <c r="D37" s="7">
        <f t="shared" si="11"/>
        <v>684.47</v>
      </c>
      <c r="E37" s="7">
        <f>((((E32)+(E33))+(E34))+(E35))+(E36)</f>
        <v>125.98</v>
      </c>
      <c r="F37" s="7">
        <f>((((F32)+(F33))+(F34))+(F35))+(F36)</f>
        <v>124.78</v>
      </c>
      <c r="G37" s="9">
        <f t="shared" si="12"/>
        <v>-1.2000000000000028</v>
      </c>
      <c r="H37" s="7">
        <f>((((H32)+(H33))+(H34))+(H35))+(H36)</f>
        <v>125.98</v>
      </c>
      <c r="I37" s="7">
        <f>((((I32)+(I33))+(I34))+(I35))+(I36)</f>
        <v>124.78</v>
      </c>
      <c r="J37" s="9">
        <f t="shared" si="13"/>
        <v>-1.2000000000000028</v>
      </c>
      <c r="K37" s="7">
        <f>((((K32)+(K33))+(K34))+(K35))+(K36)</f>
        <v>0</v>
      </c>
      <c r="L37" s="7">
        <f>((((L32)+(L33))+(L34))+(L35))+(L36)</f>
        <v>0</v>
      </c>
      <c r="M37" s="7">
        <f t="shared" si="14"/>
        <v>0</v>
      </c>
      <c r="N37" s="7">
        <f>((((N32)+(N33))+(N34))+(N35))+(N36)</f>
        <v>0</v>
      </c>
      <c r="O37" s="7">
        <f>((((O32)+(O33))+(O34))+(O35))+(O36)</f>
        <v>0</v>
      </c>
      <c r="P37" s="7">
        <f t="shared" si="15"/>
        <v>0</v>
      </c>
      <c r="Q37" s="7">
        <f>((((Q32)+(Q33))+(Q34))+(Q35))+(Q36)</f>
        <v>2645.5</v>
      </c>
      <c r="R37" s="7">
        <f>((((R32)+(R33))+(R34))+(R35))+(R36)</f>
        <v>2620.36</v>
      </c>
      <c r="S37" s="9">
        <f t="shared" si="16"/>
        <v>-25.139999999999873</v>
      </c>
      <c r="T37" s="7">
        <f>((((T32)+(T33))+(T34))+(T35))+(T36)</f>
        <v>125.98</v>
      </c>
      <c r="U37" s="7">
        <f>((((U32)+(U33))+(U34))+(U35))+(U36)</f>
        <v>124.78</v>
      </c>
      <c r="V37" s="9">
        <f t="shared" si="17"/>
        <v>-1.2000000000000028</v>
      </c>
      <c r="W37" s="7">
        <f>((((W32)+(W33))+(W34))+(W35))+(W36)</f>
        <v>9448.16</v>
      </c>
      <c r="X37" s="7">
        <f>((((X32)+(X33))+(X34))+(X35))+(X36)</f>
        <v>9358.43</v>
      </c>
      <c r="Y37" s="9">
        <f t="shared" si="18"/>
        <v>-89.729999999999563</v>
      </c>
      <c r="Z37" s="7">
        <f>((((Z32)+(Z33))+(Z34))+(Z35))+(Z36)</f>
        <v>0</v>
      </c>
      <c r="AA37" s="7">
        <f>((((AA32)+(AA33))+(AA34))+(AA35))+(AA36)</f>
        <v>0</v>
      </c>
      <c r="AB37" s="7">
        <f t="shared" si="19"/>
        <v>0</v>
      </c>
      <c r="AC37" s="7">
        <f t="shared" si="20"/>
        <v>11978.58</v>
      </c>
      <c r="AD37" s="7">
        <f t="shared" si="20"/>
        <v>12544.58</v>
      </c>
      <c r="AE37" s="7">
        <f t="shared" si="21"/>
        <v>566</v>
      </c>
    </row>
    <row r="38" spans="1:31" x14ac:dyDescent="0.3">
      <c r="A38" s="3" t="s">
        <v>87</v>
      </c>
      <c r="B38" s="7">
        <f>(((((B16)+(B17))+(B21))+(B25))+(B31))+(B37)</f>
        <v>135.16000000000008</v>
      </c>
      <c r="C38" s="7">
        <f>(((((C16)+(C17))+(C21))+(C25))+(C31))+(C37)</f>
        <v>914.47</v>
      </c>
      <c r="D38" s="7">
        <f t="shared" si="11"/>
        <v>779.31</v>
      </c>
      <c r="E38" s="7">
        <f>(((((E16)+(E17))+(E21))+(E25))+(E31))+(E37)</f>
        <v>125.98</v>
      </c>
      <c r="F38" s="7">
        <f>(((((F16)+(F17))+(F21))+(F25))+(F31))+(F37)</f>
        <v>124.78</v>
      </c>
      <c r="G38" s="9">
        <f t="shared" si="12"/>
        <v>-1.2000000000000028</v>
      </c>
      <c r="H38" s="7">
        <f>(((((H16)+(H17))+(H21))+(H25))+(H31))+(H37)</f>
        <v>385.98</v>
      </c>
      <c r="I38" s="7">
        <f>(((((I16)+(I17))+(I21))+(I25))+(I31))+(I37)</f>
        <v>833.1099999999999</v>
      </c>
      <c r="J38" s="7">
        <f t="shared" si="13"/>
        <v>447.12999999999988</v>
      </c>
      <c r="K38" s="7">
        <f>(((((K16)+(K17))+(K21))+(K25))+(K31))+(K37)</f>
        <v>0</v>
      </c>
      <c r="L38" s="7">
        <f>(((((L16)+(L17))+(L21))+(L25))+(L31))+(L37)</f>
        <v>0</v>
      </c>
      <c r="M38" s="7">
        <f t="shared" si="14"/>
        <v>0</v>
      </c>
      <c r="N38" s="7">
        <f>(((((N16)+(N17))+(N21))+(N25))+(N31))+(N37)</f>
        <v>0</v>
      </c>
      <c r="O38" s="7">
        <f>(((((O16)+(O17))+(O21))+(O25))+(O31))+(O37)</f>
        <v>0</v>
      </c>
      <c r="P38" s="7">
        <f t="shared" si="15"/>
        <v>0</v>
      </c>
      <c r="Q38" s="7">
        <f>(((((Q16)+(Q17))+(Q21))+(Q25))+(Q31))+(Q37)</f>
        <v>2645.5</v>
      </c>
      <c r="R38" s="7">
        <f>(((((R16)+(R17))+(R21))+(R25))+(R31))+(R37)</f>
        <v>2620.36</v>
      </c>
      <c r="S38" s="9">
        <f t="shared" si="16"/>
        <v>-25.139999999999873</v>
      </c>
      <c r="T38" s="7">
        <f>(((((T16)+(T17))+(T21))+(T25))+(T31))+(T37)</f>
        <v>125.98</v>
      </c>
      <c r="U38" s="7">
        <f>(((((U16)+(U17))+(U21))+(U25))+(U31))+(U37)</f>
        <v>124.78</v>
      </c>
      <c r="V38" s="9">
        <f t="shared" si="17"/>
        <v>-1.2000000000000028</v>
      </c>
      <c r="W38" s="7">
        <f>(((((W16)+(W17))+(W21))+(W25))+(W31))+(W37)</f>
        <v>9448.16</v>
      </c>
      <c r="X38" s="7">
        <f>(((((X16)+(X17))+(X21))+(X25))+(X31))+(X37)</f>
        <v>9358.43</v>
      </c>
      <c r="Y38" s="9">
        <f t="shared" si="18"/>
        <v>-89.729999999999563</v>
      </c>
      <c r="Z38" s="7">
        <f>(((((Z16)+(Z17))+(Z21))+(Z25))+(Z31))+(Z37)</f>
        <v>21.78</v>
      </c>
      <c r="AA38" s="7">
        <f>(((((AA16)+(AA17))+(AA21))+(AA25))+(AA31))+(AA37)</f>
        <v>0</v>
      </c>
      <c r="AB38" s="9">
        <f t="shared" si="19"/>
        <v>-21.78</v>
      </c>
      <c r="AC38" s="7">
        <f t="shared" si="20"/>
        <v>12888.54</v>
      </c>
      <c r="AD38" s="7">
        <f t="shared" si="20"/>
        <v>13975.93</v>
      </c>
      <c r="AE38" s="7">
        <f t="shared" si="21"/>
        <v>1087.3899999999994</v>
      </c>
    </row>
    <row r="39" spans="1:31" x14ac:dyDescent="0.3">
      <c r="A39" s="3" t="s">
        <v>88</v>
      </c>
      <c r="B39" s="4"/>
      <c r="C39" s="4"/>
      <c r="D39" s="5">
        <f t="shared" si="11"/>
        <v>0</v>
      </c>
      <c r="E39" s="4"/>
      <c r="F39" s="4"/>
      <c r="G39" s="5">
        <f t="shared" si="12"/>
        <v>0</v>
      </c>
      <c r="H39" s="4"/>
      <c r="I39" s="4"/>
      <c r="J39" s="5">
        <f t="shared" si="13"/>
        <v>0</v>
      </c>
      <c r="K39" s="4"/>
      <c r="L39" s="4"/>
      <c r="M39" s="5">
        <f t="shared" si="14"/>
        <v>0</v>
      </c>
      <c r="N39" s="4"/>
      <c r="O39" s="4"/>
      <c r="P39" s="5">
        <f t="shared" si="15"/>
        <v>0</v>
      </c>
      <c r="Q39" s="4"/>
      <c r="R39" s="4"/>
      <c r="S39" s="5">
        <f t="shared" si="16"/>
        <v>0</v>
      </c>
      <c r="T39" s="4"/>
      <c r="U39" s="4"/>
      <c r="V39" s="5">
        <f t="shared" si="17"/>
        <v>0</v>
      </c>
      <c r="W39" s="4"/>
      <c r="X39" s="4"/>
      <c r="Y39" s="5">
        <f t="shared" si="18"/>
        <v>0</v>
      </c>
      <c r="Z39" s="4"/>
      <c r="AA39" s="4"/>
      <c r="AB39" s="5">
        <f t="shared" si="19"/>
        <v>0</v>
      </c>
      <c r="AC39" s="5">
        <f t="shared" si="20"/>
        <v>0</v>
      </c>
      <c r="AD39" s="5">
        <f t="shared" si="20"/>
        <v>0</v>
      </c>
      <c r="AE39" s="5">
        <f t="shared" si="21"/>
        <v>0</v>
      </c>
    </row>
    <row r="40" spans="1:31" x14ac:dyDescent="0.3">
      <c r="A40" s="3" t="s">
        <v>89</v>
      </c>
      <c r="B40" s="4"/>
      <c r="C40" s="4"/>
      <c r="D40" s="5">
        <f t="shared" si="11"/>
        <v>0</v>
      </c>
      <c r="E40" s="4"/>
      <c r="F40" s="4"/>
      <c r="G40" s="5">
        <f t="shared" si="12"/>
        <v>0</v>
      </c>
      <c r="H40" s="4"/>
      <c r="I40" s="4"/>
      <c r="J40" s="5">
        <f t="shared" si="13"/>
        <v>0</v>
      </c>
      <c r="K40" s="4"/>
      <c r="L40" s="4"/>
      <c r="M40" s="5">
        <f t="shared" si="14"/>
        <v>0</v>
      </c>
      <c r="N40" s="4"/>
      <c r="O40" s="4"/>
      <c r="P40" s="5">
        <f t="shared" si="15"/>
        <v>0</v>
      </c>
      <c r="Q40" s="5">
        <f>8699.17</f>
        <v>8699.17</v>
      </c>
      <c r="R40" s="5">
        <f>8699.17</f>
        <v>8699.17</v>
      </c>
      <c r="S40" s="5">
        <f t="shared" si="16"/>
        <v>0</v>
      </c>
      <c r="T40" s="4"/>
      <c r="U40" s="4"/>
      <c r="V40" s="5">
        <f t="shared" si="17"/>
        <v>0</v>
      </c>
      <c r="W40" s="4"/>
      <c r="X40" s="4"/>
      <c r="Y40" s="5">
        <f t="shared" si="18"/>
        <v>0</v>
      </c>
      <c r="Z40" s="4"/>
      <c r="AA40" s="4"/>
      <c r="AB40" s="5">
        <f t="shared" si="19"/>
        <v>0</v>
      </c>
      <c r="AC40" s="5">
        <f t="shared" si="20"/>
        <v>8699.17</v>
      </c>
      <c r="AD40" s="5">
        <f t="shared" si="20"/>
        <v>8699.17</v>
      </c>
      <c r="AE40" s="5">
        <f t="shared" si="21"/>
        <v>0</v>
      </c>
    </row>
    <row r="41" spans="1:31" x14ac:dyDescent="0.3">
      <c r="A41" s="3" t="s">
        <v>90</v>
      </c>
      <c r="B41" s="4"/>
      <c r="C41" s="4"/>
      <c r="D41" s="5">
        <f t="shared" si="11"/>
        <v>0</v>
      </c>
      <c r="E41" s="4"/>
      <c r="F41" s="4"/>
      <c r="G41" s="5">
        <f t="shared" si="12"/>
        <v>0</v>
      </c>
      <c r="H41" s="4"/>
      <c r="I41" s="4"/>
      <c r="J41" s="5">
        <f t="shared" si="13"/>
        <v>0</v>
      </c>
      <c r="K41" s="4"/>
      <c r="L41" s="4"/>
      <c r="M41" s="5">
        <f t="shared" si="14"/>
        <v>0</v>
      </c>
      <c r="N41" s="4"/>
      <c r="O41" s="4"/>
      <c r="P41" s="5">
        <f t="shared" si="15"/>
        <v>0</v>
      </c>
      <c r="Q41" s="4"/>
      <c r="R41" s="4"/>
      <c r="S41" s="5">
        <f t="shared" si="16"/>
        <v>0</v>
      </c>
      <c r="T41" s="4"/>
      <c r="U41" s="4"/>
      <c r="V41" s="5">
        <f t="shared" si="17"/>
        <v>0</v>
      </c>
      <c r="W41" s="5">
        <f>26500</f>
        <v>26500</v>
      </c>
      <c r="X41" s="5">
        <f>26500</f>
        <v>26500</v>
      </c>
      <c r="Y41" s="5">
        <f t="shared" si="18"/>
        <v>0</v>
      </c>
      <c r="Z41" s="4"/>
      <c r="AA41" s="4"/>
      <c r="AB41" s="5">
        <f t="shared" si="19"/>
        <v>0</v>
      </c>
      <c r="AC41" s="5">
        <f t="shared" si="20"/>
        <v>26500</v>
      </c>
      <c r="AD41" s="5">
        <f t="shared" si="20"/>
        <v>26500</v>
      </c>
      <c r="AE41" s="5">
        <f t="shared" si="21"/>
        <v>0</v>
      </c>
    </row>
    <row r="42" spans="1:31" x14ac:dyDescent="0.3">
      <c r="A42" s="3" t="s">
        <v>91</v>
      </c>
      <c r="B42" s="7">
        <f>((B39)+(B40))+(B41)</f>
        <v>0</v>
      </c>
      <c r="C42" s="7">
        <f>((C39)+(C40))+(C41)</f>
        <v>0</v>
      </c>
      <c r="D42" s="7">
        <f t="shared" si="11"/>
        <v>0</v>
      </c>
      <c r="E42" s="7">
        <f>((E39)+(E40))+(E41)</f>
        <v>0</v>
      </c>
      <c r="F42" s="7">
        <f>((F39)+(F40))+(F41)</f>
        <v>0</v>
      </c>
      <c r="G42" s="7">
        <f t="shared" si="12"/>
        <v>0</v>
      </c>
      <c r="H42" s="7">
        <f>((H39)+(H40))+(H41)</f>
        <v>0</v>
      </c>
      <c r="I42" s="7">
        <f>((I39)+(I40))+(I41)</f>
        <v>0</v>
      </c>
      <c r="J42" s="7">
        <f t="shared" si="13"/>
        <v>0</v>
      </c>
      <c r="K42" s="7">
        <f>((K39)+(K40))+(K41)</f>
        <v>0</v>
      </c>
      <c r="L42" s="7">
        <f>((L39)+(L40))+(L41)</f>
        <v>0</v>
      </c>
      <c r="M42" s="7">
        <f t="shared" si="14"/>
        <v>0</v>
      </c>
      <c r="N42" s="7">
        <f>((N39)+(N40))+(N41)</f>
        <v>0</v>
      </c>
      <c r="O42" s="7">
        <f>((O39)+(O40))+(O41)</f>
        <v>0</v>
      </c>
      <c r="P42" s="7">
        <f t="shared" si="15"/>
        <v>0</v>
      </c>
      <c r="Q42" s="7">
        <f>((Q39)+(Q40))+(Q41)</f>
        <v>8699.17</v>
      </c>
      <c r="R42" s="7">
        <f>((R39)+(R40))+(R41)</f>
        <v>8699.17</v>
      </c>
      <c r="S42" s="7">
        <f t="shared" si="16"/>
        <v>0</v>
      </c>
      <c r="T42" s="7">
        <f>((T39)+(T40))+(T41)</f>
        <v>0</v>
      </c>
      <c r="U42" s="7">
        <f>((U39)+(U40))+(U41)</f>
        <v>0</v>
      </c>
      <c r="V42" s="7">
        <f t="shared" si="17"/>
        <v>0</v>
      </c>
      <c r="W42" s="7">
        <f>((W39)+(W40))+(W41)</f>
        <v>26500</v>
      </c>
      <c r="X42" s="7">
        <f>((X39)+(X40))+(X41)</f>
        <v>26500</v>
      </c>
      <c r="Y42" s="7">
        <f t="shared" si="18"/>
        <v>0</v>
      </c>
      <c r="Z42" s="7">
        <f>((Z39)+(Z40))+(Z41)</f>
        <v>0</v>
      </c>
      <c r="AA42" s="7">
        <f>((AA39)+(AA40))+(AA41)</f>
        <v>0</v>
      </c>
      <c r="AB42" s="7">
        <f t="shared" si="19"/>
        <v>0</v>
      </c>
      <c r="AC42" s="7">
        <f t="shared" si="20"/>
        <v>35199.17</v>
      </c>
      <c r="AD42" s="7">
        <f t="shared" si="20"/>
        <v>35199.17</v>
      </c>
      <c r="AE42" s="7">
        <f t="shared" si="21"/>
        <v>0</v>
      </c>
    </row>
    <row r="43" spans="1:31" x14ac:dyDescent="0.3">
      <c r="A43" s="3" t="s">
        <v>92</v>
      </c>
      <c r="B43" s="4"/>
      <c r="C43" s="4"/>
      <c r="D43" s="5">
        <f t="shared" si="11"/>
        <v>0</v>
      </c>
      <c r="E43" s="4"/>
      <c r="F43" s="4"/>
      <c r="G43" s="5">
        <f t="shared" si="12"/>
        <v>0</v>
      </c>
      <c r="H43" s="4"/>
      <c r="I43" s="4"/>
      <c r="J43" s="5">
        <f t="shared" si="13"/>
        <v>0</v>
      </c>
      <c r="K43" s="4"/>
      <c r="L43" s="4"/>
      <c r="M43" s="5">
        <f t="shared" si="14"/>
        <v>0</v>
      </c>
      <c r="N43" s="4"/>
      <c r="O43" s="5">
        <f>1041.67</f>
        <v>1041.67</v>
      </c>
      <c r="P43" s="5">
        <f t="shared" si="15"/>
        <v>1041.67</v>
      </c>
      <c r="Q43" s="4"/>
      <c r="R43" s="4"/>
      <c r="S43" s="5">
        <f t="shared" si="16"/>
        <v>0</v>
      </c>
      <c r="T43" s="4"/>
      <c r="U43" s="4"/>
      <c r="V43" s="5">
        <f t="shared" si="17"/>
        <v>0</v>
      </c>
      <c r="W43" s="4"/>
      <c r="X43" s="4"/>
      <c r="Y43" s="5">
        <f t="shared" si="18"/>
        <v>0</v>
      </c>
      <c r="Z43" s="4"/>
      <c r="AA43" s="4"/>
      <c r="AB43" s="5">
        <f t="shared" si="19"/>
        <v>0</v>
      </c>
      <c r="AC43" s="5">
        <f t="shared" si="20"/>
        <v>0</v>
      </c>
      <c r="AD43" s="5">
        <f t="shared" si="20"/>
        <v>1041.67</v>
      </c>
      <c r="AE43" s="5">
        <f t="shared" si="21"/>
        <v>1041.67</v>
      </c>
    </row>
    <row r="44" spans="1:31" x14ac:dyDescent="0.3">
      <c r="A44" s="3" t="s">
        <v>93</v>
      </c>
      <c r="B44" s="4"/>
      <c r="C44" s="4"/>
      <c r="D44" s="5">
        <f t="shared" si="11"/>
        <v>0</v>
      </c>
      <c r="E44" s="4"/>
      <c r="F44" s="5">
        <f>3125</f>
        <v>3125</v>
      </c>
      <c r="G44" s="5">
        <f t="shared" si="12"/>
        <v>3125</v>
      </c>
      <c r="H44" s="4"/>
      <c r="I44" s="4"/>
      <c r="J44" s="5">
        <f t="shared" si="13"/>
        <v>0</v>
      </c>
      <c r="K44" s="4"/>
      <c r="L44" s="4"/>
      <c r="M44" s="5">
        <f t="shared" si="14"/>
        <v>0</v>
      </c>
      <c r="N44" s="4"/>
      <c r="O44" s="4"/>
      <c r="P44" s="5">
        <f t="shared" si="15"/>
        <v>0</v>
      </c>
      <c r="Q44" s="4"/>
      <c r="R44" s="4"/>
      <c r="S44" s="5">
        <f t="shared" si="16"/>
        <v>0</v>
      </c>
      <c r="T44" s="4"/>
      <c r="U44" s="4"/>
      <c r="V44" s="5">
        <f t="shared" si="17"/>
        <v>0</v>
      </c>
      <c r="W44" s="4"/>
      <c r="X44" s="4"/>
      <c r="Y44" s="5">
        <f t="shared" si="18"/>
        <v>0</v>
      </c>
      <c r="Z44" s="4"/>
      <c r="AA44" s="4"/>
      <c r="AB44" s="5">
        <f t="shared" si="19"/>
        <v>0</v>
      </c>
      <c r="AC44" s="5">
        <f t="shared" si="20"/>
        <v>0</v>
      </c>
      <c r="AD44" s="5">
        <f t="shared" si="20"/>
        <v>3125</v>
      </c>
      <c r="AE44" s="5">
        <f t="shared" si="21"/>
        <v>3125</v>
      </c>
    </row>
    <row r="45" spans="1:31" x14ac:dyDescent="0.3">
      <c r="A45" s="3" t="s">
        <v>94</v>
      </c>
      <c r="B45" s="7">
        <f>(B43)+(B44)</f>
        <v>0</v>
      </c>
      <c r="C45" s="7">
        <f>(C43)+(C44)</f>
        <v>0</v>
      </c>
      <c r="D45" s="7">
        <f t="shared" si="11"/>
        <v>0</v>
      </c>
      <c r="E45" s="7">
        <f>(E43)+(E44)</f>
        <v>0</v>
      </c>
      <c r="F45" s="7">
        <f>(F43)+(F44)</f>
        <v>3125</v>
      </c>
      <c r="G45" s="7">
        <f t="shared" si="12"/>
        <v>3125</v>
      </c>
      <c r="H45" s="7">
        <f>(H43)+(H44)</f>
        <v>0</v>
      </c>
      <c r="I45" s="7">
        <f>(I43)+(I44)</f>
        <v>0</v>
      </c>
      <c r="J45" s="7">
        <f t="shared" si="13"/>
        <v>0</v>
      </c>
      <c r="K45" s="7">
        <f>(K43)+(K44)</f>
        <v>0</v>
      </c>
      <c r="L45" s="7">
        <f>(L43)+(L44)</f>
        <v>0</v>
      </c>
      <c r="M45" s="7">
        <f t="shared" si="14"/>
        <v>0</v>
      </c>
      <c r="N45" s="7">
        <f>(N43)+(N44)</f>
        <v>0</v>
      </c>
      <c r="O45" s="7">
        <f>(O43)+(O44)</f>
        <v>1041.67</v>
      </c>
      <c r="P45" s="7">
        <f t="shared" si="15"/>
        <v>1041.67</v>
      </c>
      <c r="Q45" s="7">
        <f>(Q43)+(Q44)</f>
        <v>0</v>
      </c>
      <c r="R45" s="7">
        <f>(R43)+(R44)</f>
        <v>0</v>
      </c>
      <c r="S45" s="7">
        <f t="shared" si="16"/>
        <v>0</v>
      </c>
      <c r="T45" s="7">
        <f>(T43)+(T44)</f>
        <v>0</v>
      </c>
      <c r="U45" s="7">
        <f>(U43)+(U44)</f>
        <v>0</v>
      </c>
      <c r="V45" s="7">
        <f t="shared" si="17"/>
        <v>0</v>
      </c>
      <c r="W45" s="7">
        <f>(W43)+(W44)</f>
        <v>0</v>
      </c>
      <c r="X45" s="7">
        <f>(X43)+(X44)</f>
        <v>0</v>
      </c>
      <c r="Y45" s="7">
        <f t="shared" si="18"/>
        <v>0</v>
      </c>
      <c r="Z45" s="7">
        <f>(Z43)+(Z44)</f>
        <v>0</v>
      </c>
      <c r="AA45" s="7">
        <f>(AA43)+(AA44)</f>
        <v>0</v>
      </c>
      <c r="AB45" s="7">
        <f t="shared" si="19"/>
        <v>0</v>
      </c>
      <c r="AC45" s="7">
        <f t="shared" si="20"/>
        <v>0</v>
      </c>
      <c r="AD45" s="7">
        <f t="shared" si="20"/>
        <v>4166.67</v>
      </c>
      <c r="AE45" s="7">
        <f t="shared" si="21"/>
        <v>4166.67</v>
      </c>
    </row>
    <row r="46" spans="1:31" x14ac:dyDescent="0.3">
      <c r="A46" s="3" t="s">
        <v>95</v>
      </c>
      <c r="B46" s="4"/>
      <c r="C46" s="4"/>
      <c r="D46" s="5">
        <f t="shared" si="11"/>
        <v>0</v>
      </c>
      <c r="E46" s="4"/>
      <c r="F46" s="4"/>
      <c r="G46" s="5">
        <f t="shared" si="12"/>
        <v>0</v>
      </c>
      <c r="H46" s="4"/>
      <c r="I46" s="4"/>
      <c r="J46" s="5">
        <f t="shared" si="13"/>
        <v>0</v>
      </c>
      <c r="K46" s="4"/>
      <c r="L46" s="4"/>
      <c r="M46" s="5">
        <f t="shared" si="14"/>
        <v>0</v>
      </c>
      <c r="N46" s="4"/>
      <c r="O46" s="4"/>
      <c r="P46" s="5">
        <f t="shared" si="15"/>
        <v>0</v>
      </c>
      <c r="Q46" s="4"/>
      <c r="R46" s="4"/>
      <c r="S46" s="5">
        <f t="shared" si="16"/>
        <v>0</v>
      </c>
      <c r="T46" s="4"/>
      <c r="U46" s="4"/>
      <c r="V46" s="5">
        <f t="shared" si="17"/>
        <v>0</v>
      </c>
      <c r="W46" s="4"/>
      <c r="X46" s="4"/>
      <c r="Y46" s="5">
        <f t="shared" si="18"/>
        <v>0</v>
      </c>
      <c r="Z46" s="4"/>
      <c r="AA46" s="4"/>
      <c r="AB46" s="5">
        <f t="shared" si="19"/>
        <v>0</v>
      </c>
      <c r="AC46" s="5">
        <f t="shared" si="20"/>
        <v>0</v>
      </c>
      <c r="AD46" s="5">
        <f t="shared" si="20"/>
        <v>0</v>
      </c>
      <c r="AE46" s="5">
        <f t="shared" si="21"/>
        <v>0</v>
      </c>
    </row>
    <row r="47" spans="1:31" x14ac:dyDescent="0.3">
      <c r="A47" s="3" t="s">
        <v>96</v>
      </c>
      <c r="B47" s="4"/>
      <c r="C47" s="4"/>
      <c r="D47" s="5">
        <f t="shared" si="11"/>
        <v>0</v>
      </c>
      <c r="E47" s="4"/>
      <c r="F47" s="4"/>
      <c r="G47" s="5">
        <f t="shared" si="12"/>
        <v>0</v>
      </c>
      <c r="H47" s="4"/>
      <c r="I47" s="4"/>
      <c r="J47" s="5">
        <f t="shared" si="13"/>
        <v>0</v>
      </c>
      <c r="K47" s="4"/>
      <c r="L47" s="4"/>
      <c r="M47" s="5">
        <f t="shared" si="14"/>
        <v>0</v>
      </c>
      <c r="N47" s="4"/>
      <c r="O47" s="4"/>
      <c r="P47" s="5">
        <f t="shared" si="15"/>
        <v>0</v>
      </c>
      <c r="Q47" s="4"/>
      <c r="R47" s="4"/>
      <c r="S47" s="5">
        <f t="shared" si="16"/>
        <v>0</v>
      </c>
      <c r="T47" s="4"/>
      <c r="U47" s="4"/>
      <c r="V47" s="5">
        <f t="shared" si="17"/>
        <v>0</v>
      </c>
      <c r="W47" s="4"/>
      <c r="X47" s="4"/>
      <c r="Y47" s="5">
        <f t="shared" si="18"/>
        <v>0</v>
      </c>
      <c r="Z47" s="4"/>
      <c r="AA47" s="4"/>
      <c r="AB47" s="5">
        <f t="shared" si="19"/>
        <v>0</v>
      </c>
      <c r="AC47" s="5">
        <f t="shared" si="20"/>
        <v>0</v>
      </c>
      <c r="AD47" s="5">
        <f t="shared" si="20"/>
        <v>0</v>
      </c>
      <c r="AE47" s="5">
        <f t="shared" si="21"/>
        <v>0</v>
      </c>
    </row>
    <row r="48" spans="1:31" x14ac:dyDescent="0.3">
      <c r="A48" s="3" t="s">
        <v>97</v>
      </c>
      <c r="B48" s="4"/>
      <c r="C48" s="5">
        <f>16.67</f>
        <v>16.670000000000002</v>
      </c>
      <c r="D48" s="5">
        <f t="shared" si="11"/>
        <v>16.670000000000002</v>
      </c>
      <c r="E48" s="4"/>
      <c r="F48" s="4"/>
      <c r="G48" s="5">
        <f t="shared" si="12"/>
        <v>0</v>
      </c>
      <c r="H48" s="4"/>
      <c r="I48" s="4"/>
      <c r="J48" s="5">
        <f t="shared" si="13"/>
        <v>0</v>
      </c>
      <c r="K48" s="4"/>
      <c r="L48" s="4"/>
      <c r="M48" s="5">
        <f t="shared" si="14"/>
        <v>0</v>
      </c>
      <c r="N48" s="4"/>
      <c r="O48" s="4"/>
      <c r="P48" s="5">
        <f t="shared" si="15"/>
        <v>0</v>
      </c>
      <c r="Q48" s="4"/>
      <c r="R48" s="4"/>
      <c r="S48" s="5">
        <f t="shared" si="16"/>
        <v>0</v>
      </c>
      <c r="T48" s="4"/>
      <c r="U48" s="4"/>
      <c r="V48" s="5">
        <f t="shared" si="17"/>
        <v>0</v>
      </c>
      <c r="W48" s="4"/>
      <c r="X48" s="4"/>
      <c r="Y48" s="5">
        <f t="shared" si="18"/>
        <v>0</v>
      </c>
      <c r="Z48" s="4"/>
      <c r="AA48" s="4"/>
      <c r="AB48" s="5">
        <f t="shared" si="19"/>
        <v>0</v>
      </c>
      <c r="AC48" s="5">
        <f t="shared" si="20"/>
        <v>0</v>
      </c>
      <c r="AD48" s="5">
        <f t="shared" si="20"/>
        <v>16.670000000000002</v>
      </c>
      <c r="AE48" s="5">
        <f t="shared" si="21"/>
        <v>16.670000000000002</v>
      </c>
    </row>
    <row r="49" spans="1:31" x14ac:dyDescent="0.3">
      <c r="A49" s="3" t="s">
        <v>98</v>
      </c>
      <c r="B49" s="7">
        <f>(B47)+(B48)</f>
        <v>0</v>
      </c>
      <c r="C49" s="7">
        <f>(C47)+(C48)</f>
        <v>16.670000000000002</v>
      </c>
      <c r="D49" s="7">
        <f t="shared" si="11"/>
        <v>16.670000000000002</v>
      </c>
      <c r="E49" s="7">
        <f>(E47)+(E48)</f>
        <v>0</v>
      </c>
      <c r="F49" s="7">
        <f>(F47)+(F48)</f>
        <v>0</v>
      </c>
      <c r="G49" s="7">
        <f t="shared" si="12"/>
        <v>0</v>
      </c>
      <c r="H49" s="7">
        <f>(H47)+(H48)</f>
        <v>0</v>
      </c>
      <c r="I49" s="7">
        <f>(I47)+(I48)</f>
        <v>0</v>
      </c>
      <c r="J49" s="7">
        <f t="shared" si="13"/>
        <v>0</v>
      </c>
      <c r="K49" s="7">
        <f>(K47)+(K48)</f>
        <v>0</v>
      </c>
      <c r="L49" s="7">
        <f>(L47)+(L48)</f>
        <v>0</v>
      </c>
      <c r="M49" s="7">
        <f t="shared" si="14"/>
        <v>0</v>
      </c>
      <c r="N49" s="7">
        <f>(N47)+(N48)</f>
        <v>0</v>
      </c>
      <c r="O49" s="7">
        <f>(O47)+(O48)</f>
        <v>0</v>
      </c>
      <c r="P49" s="7">
        <f t="shared" si="15"/>
        <v>0</v>
      </c>
      <c r="Q49" s="7">
        <f>(Q47)+(Q48)</f>
        <v>0</v>
      </c>
      <c r="R49" s="7">
        <f>(R47)+(R48)</f>
        <v>0</v>
      </c>
      <c r="S49" s="7">
        <f t="shared" si="16"/>
        <v>0</v>
      </c>
      <c r="T49" s="7">
        <f>(T47)+(T48)</f>
        <v>0</v>
      </c>
      <c r="U49" s="7">
        <f>(U47)+(U48)</f>
        <v>0</v>
      </c>
      <c r="V49" s="7">
        <f t="shared" si="17"/>
        <v>0</v>
      </c>
      <c r="W49" s="7">
        <f>(W47)+(W48)</f>
        <v>0</v>
      </c>
      <c r="X49" s="7">
        <f>(X47)+(X48)</f>
        <v>0</v>
      </c>
      <c r="Y49" s="7">
        <f t="shared" si="18"/>
        <v>0</v>
      </c>
      <c r="Z49" s="7">
        <f>(Z47)+(Z48)</f>
        <v>0</v>
      </c>
      <c r="AA49" s="7">
        <f>(AA47)+(AA48)</f>
        <v>0</v>
      </c>
      <c r="AB49" s="7">
        <f t="shared" si="19"/>
        <v>0</v>
      </c>
      <c r="AC49" s="7">
        <f t="shared" si="20"/>
        <v>0</v>
      </c>
      <c r="AD49" s="7">
        <f t="shared" si="20"/>
        <v>16.670000000000002</v>
      </c>
      <c r="AE49" s="7">
        <f t="shared" si="21"/>
        <v>16.670000000000002</v>
      </c>
    </row>
    <row r="50" spans="1:31" x14ac:dyDescent="0.3">
      <c r="A50" s="3" t="s">
        <v>99</v>
      </c>
      <c r="B50" s="4"/>
      <c r="C50" s="5">
        <f>20.83</f>
        <v>20.83</v>
      </c>
      <c r="D50" s="5">
        <f t="shared" si="11"/>
        <v>20.83</v>
      </c>
      <c r="E50" s="4"/>
      <c r="F50" s="4"/>
      <c r="G50" s="5">
        <f t="shared" si="12"/>
        <v>0</v>
      </c>
      <c r="H50" s="4"/>
      <c r="I50" s="4"/>
      <c r="J50" s="5">
        <f t="shared" si="13"/>
        <v>0</v>
      </c>
      <c r="K50" s="4"/>
      <c r="L50" s="4"/>
      <c r="M50" s="5">
        <f t="shared" si="14"/>
        <v>0</v>
      </c>
      <c r="N50" s="4"/>
      <c r="O50" s="4"/>
      <c r="P50" s="5">
        <f t="shared" si="15"/>
        <v>0</v>
      </c>
      <c r="Q50" s="4"/>
      <c r="R50" s="4"/>
      <c r="S50" s="5">
        <f t="shared" si="16"/>
        <v>0</v>
      </c>
      <c r="T50" s="4"/>
      <c r="U50" s="4"/>
      <c r="V50" s="5">
        <f t="shared" si="17"/>
        <v>0</v>
      </c>
      <c r="W50" s="4"/>
      <c r="X50" s="4"/>
      <c r="Y50" s="5">
        <f t="shared" si="18"/>
        <v>0</v>
      </c>
      <c r="Z50" s="4"/>
      <c r="AA50" s="4"/>
      <c r="AB50" s="5">
        <f t="shared" si="19"/>
        <v>0</v>
      </c>
      <c r="AC50" s="5">
        <f t="shared" si="20"/>
        <v>0</v>
      </c>
      <c r="AD50" s="5">
        <f t="shared" si="20"/>
        <v>20.83</v>
      </c>
      <c r="AE50" s="5">
        <f t="shared" si="21"/>
        <v>20.83</v>
      </c>
    </row>
    <row r="51" spans="1:31" x14ac:dyDescent="0.3">
      <c r="A51" s="3" t="s">
        <v>100</v>
      </c>
      <c r="B51" s="4"/>
      <c r="C51" s="4"/>
      <c r="D51" s="5">
        <f t="shared" si="11"/>
        <v>0</v>
      </c>
      <c r="E51" s="4"/>
      <c r="F51" s="4"/>
      <c r="G51" s="5">
        <f t="shared" si="12"/>
        <v>0</v>
      </c>
      <c r="H51" s="4"/>
      <c r="I51" s="4"/>
      <c r="J51" s="5">
        <f t="shared" si="13"/>
        <v>0</v>
      </c>
      <c r="K51" s="4"/>
      <c r="L51" s="4"/>
      <c r="M51" s="5">
        <f t="shared" si="14"/>
        <v>0</v>
      </c>
      <c r="N51" s="4"/>
      <c r="O51" s="4"/>
      <c r="P51" s="5">
        <f t="shared" si="15"/>
        <v>0</v>
      </c>
      <c r="Q51" s="4"/>
      <c r="R51" s="4"/>
      <c r="S51" s="5">
        <f t="shared" si="16"/>
        <v>0</v>
      </c>
      <c r="T51" s="4"/>
      <c r="U51" s="5">
        <f>208.33</f>
        <v>208.33</v>
      </c>
      <c r="V51" s="5">
        <f t="shared" si="17"/>
        <v>208.33</v>
      </c>
      <c r="W51" s="4"/>
      <c r="X51" s="4"/>
      <c r="Y51" s="5">
        <f t="shared" si="18"/>
        <v>0</v>
      </c>
      <c r="Z51" s="4"/>
      <c r="AA51" s="4"/>
      <c r="AB51" s="5">
        <f t="shared" si="19"/>
        <v>0</v>
      </c>
      <c r="AC51" s="5">
        <f t="shared" si="20"/>
        <v>0</v>
      </c>
      <c r="AD51" s="5">
        <f t="shared" si="20"/>
        <v>208.33</v>
      </c>
      <c r="AE51" s="5">
        <f t="shared" si="21"/>
        <v>208.33</v>
      </c>
    </row>
    <row r="52" spans="1:31" x14ac:dyDescent="0.3">
      <c r="A52" s="3" t="s">
        <v>101</v>
      </c>
      <c r="B52" s="4"/>
      <c r="C52" s="4"/>
      <c r="D52" s="5">
        <f t="shared" si="11"/>
        <v>0</v>
      </c>
      <c r="E52" s="4"/>
      <c r="F52" s="4"/>
      <c r="G52" s="5">
        <f t="shared" si="12"/>
        <v>0</v>
      </c>
      <c r="H52" s="4"/>
      <c r="I52" s="4"/>
      <c r="J52" s="5">
        <f t="shared" si="13"/>
        <v>0</v>
      </c>
      <c r="K52" s="4"/>
      <c r="L52" s="4"/>
      <c r="M52" s="5">
        <f t="shared" si="14"/>
        <v>0</v>
      </c>
      <c r="N52" s="4"/>
      <c r="O52" s="4"/>
      <c r="P52" s="5">
        <f t="shared" si="15"/>
        <v>0</v>
      </c>
      <c r="Q52" s="4"/>
      <c r="R52" s="4"/>
      <c r="S52" s="5">
        <f t="shared" si="16"/>
        <v>0</v>
      </c>
      <c r="T52" s="5">
        <f>62.56</f>
        <v>62.56</v>
      </c>
      <c r="U52" s="5">
        <f>83.33</f>
        <v>83.33</v>
      </c>
      <c r="V52" s="5">
        <f t="shared" si="17"/>
        <v>20.769999999999996</v>
      </c>
      <c r="W52" s="4"/>
      <c r="X52" s="4"/>
      <c r="Y52" s="5">
        <f t="shared" si="18"/>
        <v>0</v>
      </c>
      <c r="Z52" s="4"/>
      <c r="AA52" s="4"/>
      <c r="AB52" s="5">
        <f t="shared" si="19"/>
        <v>0</v>
      </c>
      <c r="AC52" s="5">
        <f t="shared" si="20"/>
        <v>62.56</v>
      </c>
      <c r="AD52" s="5">
        <f t="shared" si="20"/>
        <v>83.33</v>
      </c>
      <c r="AE52" s="5">
        <f t="shared" si="21"/>
        <v>20.769999999999996</v>
      </c>
    </row>
    <row r="53" spans="1:31" x14ac:dyDescent="0.3">
      <c r="A53" s="3" t="s">
        <v>102</v>
      </c>
      <c r="B53" s="4"/>
      <c r="C53" s="4"/>
      <c r="D53" s="5">
        <f t="shared" si="11"/>
        <v>0</v>
      </c>
      <c r="E53" s="4"/>
      <c r="F53" s="4"/>
      <c r="G53" s="5">
        <f t="shared" si="12"/>
        <v>0</v>
      </c>
      <c r="H53" s="4"/>
      <c r="I53" s="4"/>
      <c r="J53" s="5">
        <f t="shared" si="13"/>
        <v>0</v>
      </c>
      <c r="K53" s="4"/>
      <c r="L53" s="4"/>
      <c r="M53" s="5">
        <f t="shared" si="14"/>
        <v>0</v>
      </c>
      <c r="N53" s="4"/>
      <c r="O53" s="4"/>
      <c r="P53" s="5">
        <f t="shared" si="15"/>
        <v>0</v>
      </c>
      <c r="Q53" s="4"/>
      <c r="R53" s="4"/>
      <c r="S53" s="5">
        <f t="shared" si="16"/>
        <v>0</v>
      </c>
      <c r="T53" s="4"/>
      <c r="U53" s="4"/>
      <c r="V53" s="5">
        <f t="shared" si="17"/>
        <v>0</v>
      </c>
      <c r="W53" s="4"/>
      <c r="X53" s="4"/>
      <c r="Y53" s="5">
        <f t="shared" si="18"/>
        <v>0</v>
      </c>
      <c r="Z53" s="4"/>
      <c r="AA53" s="4"/>
      <c r="AB53" s="5">
        <f t="shared" si="19"/>
        <v>0</v>
      </c>
      <c r="AC53" s="5">
        <f t="shared" si="20"/>
        <v>0</v>
      </c>
      <c r="AD53" s="5">
        <f t="shared" si="20"/>
        <v>0</v>
      </c>
      <c r="AE53" s="5">
        <f t="shared" si="21"/>
        <v>0</v>
      </c>
    </row>
    <row r="54" spans="1:31" x14ac:dyDescent="0.3">
      <c r="A54" s="3" t="s">
        <v>103</v>
      </c>
      <c r="B54" s="4"/>
      <c r="C54" s="4"/>
      <c r="D54" s="5">
        <f t="shared" si="11"/>
        <v>0</v>
      </c>
      <c r="E54" s="4"/>
      <c r="F54" s="4"/>
      <c r="G54" s="5">
        <f t="shared" si="12"/>
        <v>0</v>
      </c>
      <c r="H54" s="4"/>
      <c r="I54" s="4"/>
      <c r="J54" s="5">
        <f t="shared" si="13"/>
        <v>0</v>
      </c>
      <c r="K54" s="4"/>
      <c r="L54" s="4"/>
      <c r="M54" s="5">
        <f t="shared" si="14"/>
        <v>0</v>
      </c>
      <c r="N54" s="4"/>
      <c r="O54" s="4"/>
      <c r="P54" s="5">
        <f t="shared" si="15"/>
        <v>0</v>
      </c>
      <c r="Q54" s="4"/>
      <c r="R54" s="4"/>
      <c r="S54" s="5">
        <f t="shared" si="16"/>
        <v>0</v>
      </c>
      <c r="T54" s="5">
        <f>75</f>
        <v>75</v>
      </c>
      <c r="U54" s="5">
        <f>75</f>
        <v>75</v>
      </c>
      <c r="V54" s="5">
        <f t="shared" si="17"/>
        <v>0</v>
      </c>
      <c r="W54" s="4"/>
      <c r="X54" s="4"/>
      <c r="Y54" s="5">
        <f t="shared" si="18"/>
        <v>0</v>
      </c>
      <c r="Z54" s="4"/>
      <c r="AA54" s="4"/>
      <c r="AB54" s="5">
        <f t="shared" si="19"/>
        <v>0</v>
      </c>
      <c r="AC54" s="5">
        <f t="shared" si="20"/>
        <v>75</v>
      </c>
      <c r="AD54" s="5">
        <f t="shared" si="20"/>
        <v>75</v>
      </c>
      <c r="AE54" s="5">
        <f t="shared" si="21"/>
        <v>0</v>
      </c>
    </row>
    <row r="55" spans="1:31" x14ac:dyDescent="0.3">
      <c r="A55" s="3" t="s">
        <v>104</v>
      </c>
      <c r="B55" s="4"/>
      <c r="C55" s="4"/>
      <c r="D55" s="5">
        <f t="shared" si="11"/>
        <v>0</v>
      </c>
      <c r="E55" s="4"/>
      <c r="F55" s="4"/>
      <c r="G55" s="5">
        <f t="shared" si="12"/>
        <v>0</v>
      </c>
      <c r="H55" s="4"/>
      <c r="I55" s="4"/>
      <c r="J55" s="5">
        <f t="shared" si="13"/>
        <v>0</v>
      </c>
      <c r="K55" s="4"/>
      <c r="L55" s="4"/>
      <c r="M55" s="5">
        <f t="shared" si="14"/>
        <v>0</v>
      </c>
      <c r="N55" s="4"/>
      <c r="O55" s="4"/>
      <c r="P55" s="5">
        <f t="shared" si="15"/>
        <v>0</v>
      </c>
      <c r="Q55" s="4"/>
      <c r="R55" s="4"/>
      <c r="S55" s="5">
        <f t="shared" si="16"/>
        <v>0</v>
      </c>
      <c r="T55" s="5">
        <f>20</f>
        <v>20</v>
      </c>
      <c r="U55" s="5">
        <f>18.75</f>
        <v>18.75</v>
      </c>
      <c r="V55" s="8">
        <f t="shared" si="17"/>
        <v>-1.25</v>
      </c>
      <c r="W55" s="4"/>
      <c r="X55" s="4"/>
      <c r="Y55" s="5">
        <f t="shared" si="18"/>
        <v>0</v>
      </c>
      <c r="Z55" s="4"/>
      <c r="AA55" s="4"/>
      <c r="AB55" s="5">
        <f t="shared" si="19"/>
        <v>0</v>
      </c>
      <c r="AC55" s="5">
        <f t="shared" si="20"/>
        <v>20</v>
      </c>
      <c r="AD55" s="5">
        <f t="shared" si="20"/>
        <v>18.75</v>
      </c>
      <c r="AE55" s="8">
        <f t="shared" si="21"/>
        <v>-1.25</v>
      </c>
    </row>
    <row r="56" spans="1:31" x14ac:dyDescent="0.3">
      <c r="A56" s="3" t="s">
        <v>105</v>
      </c>
      <c r="B56" s="7">
        <f>((B53)+(B54))+(B55)</f>
        <v>0</v>
      </c>
      <c r="C56" s="7">
        <f>((C53)+(C54))+(C55)</f>
        <v>0</v>
      </c>
      <c r="D56" s="7">
        <f t="shared" si="11"/>
        <v>0</v>
      </c>
      <c r="E56" s="7">
        <f>((E53)+(E54))+(E55)</f>
        <v>0</v>
      </c>
      <c r="F56" s="7">
        <f>((F53)+(F54))+(F55)</f>
        <v>0</v>
      </c>
      <c r="G56" s="7">
        <f t="shared" si="12"/>
        <v>0</v>
      </c>
      <c r="H56" s="7">
        <f>((H53)+(H54))+(H55)</f>
        <v>0</v>
      </c>
      <c r="I56" s="7">
        <f>((I53)+(I54))+(I55)</f>
        <v>0</v>
      </c>
      <c r="J56" s="7">
        <f t="shared" si="13"/>
        <v>0</v>
      </c>
      <c r="K56" s="7">
        <f>((K53)+(K54))+(K55)</f>
        <v>0</v>
      </c>
      <c r="L56" s="7">
        <f>((L53)+(L54))+(L55)</f>
        <v>0</v>
      </c>
      <c r="M56" s="7">
        <f t="shared" si="14"/>
        <v>0</v>
      </c>
      <c r="N56" s="7">
        <f>((N53)+(N54))+(N55)</f>
        <v>0</v>
      </c>
      <c r="O56" s="7">
        <f>((O53)+(O54))+(O55)</f>
        <v>0</v>
      </c>
      <c r="P56" s="7">
        <f t="shared" si="15"/>
        <v>0</v>
      </c>
      <c r="Q56" s="7">
        <f>((Q53)+(Q54))+(Q55)</f>
        <v>0</v>
      </c>
      <c r="R56" s="7">
        <f>((R53)+(R54))+(R55)</f>
        <v>0</v>
      </c>
      <c r="S56" s="7">
        <f t="shared" si="16"/>
        <v>0</v>
      </c>
      <c r="T56" s="7">
        <f>((T53)+(T54))+(T55)</f>
        <v>95</v>
      </c>
      <c r="U56" s="7">
        <f>((U53)+(U54))+(U55)</f>
        <v>93.75</v>
      </c>
      <c r="V56" s="9">
        <f t="shared" si="17"/>
        <v>-1.25</v>
      </c>
      <c r="W56" s="7">
        <f>((W53)+(W54))+(W55)</f>
        <v>0</v>
      </c>
      <c r="X56" s="7">
        <f>((X53)+(X54))+(X55)</f>
        <v>0</v>
      </c>
      <c r="Y56" s="7">
        <f t="shared" si="18"/>
        <v>0</v>
      </c>
      <c r="Z56" s="7">
        <f>((Z53)+(Z54))+(Z55)</f>
        <v>0</v>
      </c>
      <c r="AA56" s="7">
        <f>((AA53)+(AA54))+(AA55)</f>
        <v>0</v>
      </c>
      <c r="AB56" s="7">
        <f t="shared" si="19"/>
        <v>0</v>
      </c>
      <c r="AC56" s="7">
        <f t="shared" si="20"/>
        <v>95</v>
      </c>
      <c r="AD56" s="7">
        <f t="shared" si="20"/>
        <v>93.75</v>
      </c>
      <c r="AE56" s="9">
        <f t="shared" si="21"/>
        <v>-1.25</v>
      </c>
    </row>
    <row r="57" spans="1:31" x14ac:dyDescent="0.3">
      <c r="A57" s="3" t="s">
        <v>106</v>
      </c>
      <c r="B57" s="7">
        <f>(((((B46)+(B49))+(B50))+(B51))+(B52))+(B56)</f>
        <v>0</v>
      </c>
      <c r="C57" s="7">
        <f>(((((C46)+(C49))+(C50))+(C51))+(C52))+(C56)</f>
        <v>37.5</v>
      </c>
      <c r="D57" s="7">
        <f t="shared" si="11"/>
        <v>37.5</v>
      </c>
      <c r="E57" s="7">
        <f>(((((E46)+(E49))+(E50))+(E51))+(E52))+(E56)</f>
        <v>0</v>
      </c>
      <c r="F57" s="7">
        <f>(((((F46)+(F49))+(F50))+(F51))+(F52))+(F56)</f>
        <v>0</v>
      </c>
      <c r="G57" s="7">
        <f t="shared" si="12"/>
        <v>0</v>
      </c>
      <c r="H57" s="7">
        <f>(((((H46)+(H49))+(H50))+(H51))+(H52))+(H56)</f>
        <v>0</v>
      </c>
      <c r="I57" s="7">
        <f>(((((I46)+(I49))+(I50))+(I51))+(I52))+(I56)</f>
        <v>0</v>
      </c>
      <c r="J57" s="7">
        <f t="shared" si="13"/>
        <v>0</v>
      </c>
      <c r="K57" s="7">
        <f>(((((K46)+(K49))+(K50))+(K51))+(K52))+(K56)</f>
        <v>0</v>
      </c>
      <c r="L57" s="7">
        <f>(((((L46)+(L49))+(L50))+(L51))+(L52))+(L56)</f>
        <v>0</v>
      </c>
      <c r="M57" s="7">
        <f t="shared" si="14"/>
        <v>0</v>
      </c>
      <c r="N57" s="7">
        <f>(((((N46)+(N49))+(N50))+(N51))+(N52))+(N56)</f>
        <v>0</v>
      </c>
      <c r="O57" s="7">
        <f>(((((O46)+(O49))+(O50))+(O51))+(O52))+(O56)</f>
        <v>0</v>
      </c>
      <c r="P57" s="7">
        <f t="shared" si="15"/>
        <v>0</v>
      </c>
      <c r="Q57" s="7">
        <f>(((((Q46)+(Q49))+(Q50))+(Q51))+(Q52))+(Q56)</f>
        <v>0</v>
      </c>
      <c r="R57" s="7">
        <f>(((((R46)+(R49))+(R50))+(R51))+(R52))+(R56)</f>
        <v>0</v>
      </c>
      <c r="S57" s="7">
        <f t="shared" si="16"/>
        <v>0</v>
      </c>
      <c r="T57" s="7">
        <f>(((((T46)+(T49))+(T50))+(T51))+(T52))+(T56)</f>
        <v>157.56</v>
      </c>
      <c r="U57" s="7">
        <f>(((((U46)+(U49))+(U50))+(U51))+(U52))+(U56)</f>
        <v>385.41</v>
      </c>
      <c r="V57" s="7">
        <f t="shared" si="17"/>
        <v>227.85000000000002</v>
      </c>
      <c r="W57" s="7">
        <f>(((((W46)+(W49))+(W50))+(W51))+(W52))+(W56)</f>
        <v>0</v>
      </c>
      <c r="X57" s="7">
        <f>(((((X46)+(X49))+(X50))+(X51))+(X52))+(X56)</f>
        <v>0</v>
      </c>
      <c r="Y57" s="7">
        <f t="shared" si="18"/>
        <v>0</v>
      </c>
      <c r="Z57" s="7">
        <f>(((((Z46)+(Z49))+(Z50))+(Z51))+(Z52))+(Z56)</f>
        <v>0</v>
      </c>
      <c r="AA57" s="7">
        <f>(((((AA46)+(AA49))+(AA50))+(AA51))+(AA52))+(AA56)</f>
        <v>0</v>
      </c>
      <c r="AB57" s="7">
        <f t="shared" si="19"/>
        <v>0</v>
      </c>
      <c r="AC57" s="7">
        <f t="shared" si="20"/>
        <v>157.56</v>
      </c>
      <c r="AD57" s="7">
        <f t="shared" si="20"/>
        <v>422.91</v>
      </c>
      <c r="AE57" s="7">
        <f t="shared" si="21"/>
        <v>265.35000000000002</v>
      </c>
    </row>
    <row r="58" spans="1:31" x14ac:dyDescent="0.3">
      <c r="A58" s="3" t="s">
        <v>107</v>
      </c>
      <c r="B58" s="4"/>
      <c r="C58" s="4"/>
      <c r="D58" s="5">
        <f t="shared" si="11"/>
        <v>0</v>
      </c>
      <c r="E58" s="4"/>
      <c r="F58" s="4"/>
      <c r="G58" s="5">
        <f t="shared" si="12"/>
        <v>0</v>
      </c>
      <c r="H58" s="4"/>
      <c r="I58" s="4"/>
      <c r="J58" s="5">
        <f t="shared" si="13"/>
        <v>0</v>
      </c>
      <c r="K58" s="4"/>
      <c r="L58" s="4"/>
      <c r="M58" s="5">
        <f t="shared" si="14"/>
        <v>0</v>
      </c>
      <c r="N58" s="4"/>
      <c r="O58" s="4"/>
      <c r="P58" s="5">
        <f t="shared" si="15"/>
        <v>0</v>
      </c>
      <c r="Q58" s="4"/>
      <c r="R58" s="4"/>
      <c r="S58" s="5">
        <f t="shared" si="16"/>
        <v>0</v>
      </c>
      <c r="T58" s="4"/>
      <c r="U58" s="4"/>
      <c r="V58" s="5">
        <f t="shared" si="17"/>
        <v>0</v>
      </c>
      <c r="W58" s="4"/>
      <c r="X58" s="4"/>
      <c r="Y58" s="5">
        <f t="shared" si="18"/>
        <v>0</v>
      </c>
      <c r="Z58" s="4"/>
      <c r="AA58" s="4"/>
      <c r="AB58" s="5">
        <f t="shared" si="19"/>
        <v>0</v>
      </c>
      <c r="AC58" s="5">
        <f t="shared" si="20"/>
        <v>0</v>
      </c>
      <c r="AD58" s="5">
        <f t="shared" si="20"/>
        <v>0</v>
      </c>
      <c r="AE58" s="5">
        <f t="shared" si="21"/>
        <v>0</v>
      </c>
    </row>
    <row r="59" spans="1:31" x14ac:dyDescent="0.3">
      <c r="A59" s="3" t="s">
        <v>108</v>
      </c>
      <c r="B59" s="5">
        <f>149</f>
        <v>149</v>
      </c>
      <c r="C59" s="5">
        <f>149</f>
        <v>149</v>
      </c>
      <c r="D59" s="5">
        <f t="shared" si="11"/>
        <v>0</v>
      </c>
      <c r="E59" s="4"/>
      <c r="F59" s="4"/>
      <c r="G59" s="5">
        <f t="shared" si="12"/>
        <v>0</v>
      </c>
      <c r="H59" s="4"/>
      <c r="I59" s="4"/>
      <c r="J59" s="5">
        <f t="shared" si="13"/>
        <v>0</v>
      </c>
      <c r="K59" s="4"/>
      <c r="L59" s="4"/>
      <c r="M59" s="5">
        <f t="shared" si="14"/>
        <v>0</v>
      </c>
      <c r="N59" s="4"/>
      <c r="O59" s="4"/>
      <c r="P59" s="5">
        <f t="shared" si="15"/>
        <v>0</v>
      </c>
      <c r="Q59" s="4"/>
      <c r="R59" s="4"/>
      <c r="S59" s="5">
        <f t="shared" si="16"/>
        <v>0</v>
      </c>
      <c r="T59" s="4"/>
      <c r="U59" s="4"/>
      <c r="V59" s="5">
        <f t="shared" si="17"/>
        <v>0</v>
      </c>
      <c r="W59" s="4"/>
      <c r="X59" s="4"/>
      <c r="Y59" s="5">
        <f t="shared" si="18"/>
        <v>0</v>
      </c>
      <c r="Z59" s="4"/>
      <c r="AA59" s="4"/>
      <c r="AB59" s="5">
        <f t="shared" si="19"/>
        <v>0</v>
      </c>
      <c r="AC59" s="5">
        <f t="shared" si="20"/>
        <v>149</v>
      </c>
      <c r="AD59" s="5">
        <f t="shared" si="20"/>
        <v>149</v>
      </c>
      <c r="AE59" s="5">
        <f t="shared" si="21"/>
        <v>0</v>
      </c>
    </row>
    <row r="60" spans="1:31" x14ac:dyDescent="0.3">
      <c r="A60" s="3" t="s">
        <v>109</v>
      </c>
      <c r="B60" s="7">
        <f>(B58)+(B59)</f>
        <v>149</v>
      </c>
      <c r="C60" s="7">
        <f>(C58)+(C59)</f>
        <v>149</v>
      </c>
      <c r="D60" s="7">
        <f t="shared" si="11"/>
        <v>0</v>
      </c>
      <c r="E60" s="7">
        <f>(E58)+(E59)</f>
        <v>0</v>
      </c>
      <c r="F60" s="7">
        <f>(F58)+(F59)</f>
        <v>0</v>
      </c>
      <c r="G60" s="7">
        <f t="shared" si="12"/>
        <v>0</v>
      </c>
      <c r="H60" s="7">
        <f>(H58)+(H59)</f>
        <v>0</v>
      </c>
      <c r="I60" s="7">
        <f>(I58)+(I59)</f>
        <v>0</v>
      </c>
      <c r="J60" s="7">
        <f t="shared" si="13"/>
        <v>0</v>
      </c>
      <c r="K60" s="7">
        <f>(K58)+(K59)</f>
        <v>0</v>
      </c>
      <c r="L60" s="7">
        <f>(L58)+(L59)</f>
        <v>0</v>
      </c>
      <c r="M60" s="7">
        <f t="shared" si="14"/>
        <v>0</v>
      </c>
      <c r="N60" s="7">
        <f>(N58)+(N59)</f>
        <v>0</v>
      </c>
      <c r="O60" s="7">
        <f>(O58)+(O59)</f>
        <v>0</v>
      </c>
      <c r="P60" s="7">
        <f t="shared" si="15"/>
        <v>0</v>
      </c>
      <c r="Q60" s="7">
        <f>(Q58)+(Q59)</f>
        <v>0</v>
      </c>
      <c r="R60" s="7">
        <f>(R58)+(R59)</f>
        <v>0</v>
      </c>
      <c r="S60" s="7">
        <f t="shared" si="16"/>
        <v>0</v>
      </c>
      <c r="T60" s="7">
        <f>(T58)+(T59)</f>
        <v>0</v>
      </c>
      <c r="U60" s="7">
        <f>(U58)+(U59)</f>
        <v>0</v>
      </c>
      <c r="V60" s="7">
        <f t="shared" si="17"/>
        <v>0</v>
      </c>
      <c r="W60" s="7">
        <f>(W58)+(W59)</f>
        <v>0</v>
      </c>
      <c r="X60" s="7">
        <f>(X58)+(X59)</f>
        <v>0</v>
      </c>
      <c r="Y60" s="7">
        <f t="shared" si="18"/>
        <v>0</v>
      </c>
      <c r="Z60" s="7">
        <f>(Z58)+(Z59)</f>
        <v>0</v>
      </c>
      <c r="AA60" s="7">
        <f>(AA58)+(AA59)</f>
        <v>0</v>
      </c>
      <c r="AB60" s="7">
        <f t="shared" si="19"/>
        <v>0</v>
      </c>
      <c r="AC60" s="7">
        <f t="shared" si="20"/>
        <v>149</v>
      </c>
      <c r="AD60" s="7">
        <f t="shared" si="20"/>
        <v>149</v>
      </c>
      <c r="AE60" s="7">
        <f t="shared" si="21"/>
        <v>0</v>
      </c>
    </row>
    <row r="61" spans="1:31" x14ac:dyDescent="0.3">
      <c r="A61" s="3" t="s">
        <v>110</v>
      </c>
      <c r="B61" s="7">
        <f>((((B38)+(B42))+(B45))+(B57))+(B60)</f>
        <v>284.16000000000008</v>
      </c>
      <c r="C61" s="7">
        <f>((((C38)+(C42))+(C45))+(C57))+(C60)</f>
        <v>1100.97</v>
      </c>
      <c r="D61" s="7">
        <f t="shared" si="11"/>
        <v>816.81</v>
      </c>
      <c r="E61" s="7">
        <f>((((E38)+(E42))+(E45))+(E57))+(E60)</f>
        <v>125.98</v>
      </c>
      <c r="F61" s="7">
        <f>((((F38)+(F42))+(F45))+(F57))+(F60)</f>
        <v>3249.78</v>
      </c>
      <c r="G61" s="7">
        <f t="shared" si="12"/>
        <v>3123.8</v>
      </c>
      <c r="H61" s="7">
        <f>((((H38)+(H42))+(H45))+(H57))+(H60)</f>
        <v>385.98</v>
      </c>
      <c r="I61" s="7">
        <f>((((I38)+(I42))+(I45))+(I57))+(I60)</f>
        <v>833.1099999999999</v>
      </c>
      <c r="J61" s="7">
        <f t="shared" si="13"/>
        <v>447.12999999999988</v>
      </c>
      <c r="K61" s="7">
        <f>((((K38)+(K42))+(K45))+(K57))+(K60)</f>
        <v>0</v>
      </c>
      <c r="L61" s="7">
        <f>((((L38)+(L42))+(L45))+(L57))+(L60)</f>
        <v>0</v>
      </c>
      <c r="M61" s="7">
        <f t="shared" si="14"/>
        <v>0</v>
      </c>
      <c r="N61" s="7">
        <f>((((N38)+(N42))+(N45))+(N57))+(N60)</f>
        <v>0</v>
      </c>
      <c r="O61" s="7">
        <f>((((O38)+(O42))+(O45))+(O57))+(O60)</f>
        <v>1041.67</v>
      </c>
      <c r="P61" s="7">
        <f t="shared" si="15"/>
        <v>1041.67</v>
      </c>
      <c r="Q61" s="7">
        <f>((((Q38)+(Q42))+(Q45))+(Q57))+(Q60)</f>
        <v>11344.67</v>
      </c>
      <c r="R61" s="7">
        <f>((((R38)+(R42))+(R45))+(R57))+(R60)</f>
        <v>11319.53</v>
      </c>
      <c r="S61" s="9">
        <f t="shared" si="16"/>
        <v>-25.139999999999418</v>
      </c>
      <c r="T61" s="7">
        <f>((((T38)+(T42))+(T45))+(T57))+(T60)</f>
        <v>283.54000000000002</v>
      </c>
      <c r="U61" s="7">
        <f>((((U38)+(U42))+(U45))+(U57))+(U60)</f>
        <v>510.19000000000005</v>
      </c>
      <c r="V61" s="7">
        <f t="shared" si="17"/>
        <v>226.65000000000003</v>
      </c>
      <c r="W61" s="7">
        <f>((((W38)+(W42))+(W45))+(W57))+(W60)</f>
        <v>35948.160000000003</v>
      </c>
      <c r="X61" s="7">
        <f>((((X38)+(X42))+(X45))+(X57))+(X60)</f>
        <v>35858.43</v>
      </c>
      <c r="Y61" s="9">
        <f t="shared" si="18"/>
        <v>-89.730000000003201</v>
      </c>
      <c r="Z61" s="7">
        <f>((((Z38)+(Z42))+(Z45))+(Z57))+(Z60)</f>
        <v>21.78</v>
      </c>
      <c r="AA61" s="7">
        <f>((((AA38)+(AA42))+(AA45))+(AA57))+(AA60)</f>
        <v>0</v>
      </c>
      <c r="AB61" s="9">
        <f t="shared" si="19"/>
        <v>-21.78</v>
      </c>
      <c r="AC61" s="7">
        <f t="shared" si="20"/>
        <v>48394.270000000004</v>
      </c>
      <c r="AD61" s="7">
        <f t="shared" si="20"/>
        <v>53913.68</v>
      </c>
      <c r="AE61" s="7">
        <f t="shared" si="21"/>
        <v>5519.4099999999962</v>
      </c>
    </row>
    <row r="62" spans="1:31" x14ac:dyDescent="0.3">
      <c r="A62" s="3" t="s">
        <v>111</v>
      </c>
      <c r="B62" s="7">
        <f>(B14)-(B61)</f>
        <v>258.40999999999997</v>
      </c>
      <c r="C62" s="7">
        <f>(C14)-(C61)</f>
        <v>15.569999999999936</v>
      </c>
      <c r="D62" s="9">
        <f t="shared" si="11"/>
        <v>-242.84000000000003</v>
      </c>
      <c r="E62" s="7">
        <f>(E14)-(E61)</f>
        <v>416.59000000000003</v>
      </c>
      <c r="F62" s="9">
        <f>(F14)-(F61)</f>
        <v>-645.74000000000024</v>
      </c>
      <c r="G62" s="9">
        <f t="shared" si="12"/>
        <v>-1062.3300000000004</v>
      </c>
      <c r="H62" s="7">
        <f>(H14)-(H61)</f>
        <v>156.59000000000003</v>
      </c>
      <c r="I62" s="9">
        <f>(I14)-(I61)</f>
        <v>-145.7299999999999</v>
      </c>
      <c r="J62" s="9">
        <f t="shared" si="13"/>
        <v>-302.31999999999994</v>
      </c>
      <c r="K62" s="7">
        <f>(K14)-(K61)</f>
        <v>842.96</v>
      </c>
      <c r="L62" s="7">
        <f>(L14)-(L61)</f>
        <v>820.83</v>
      </c>
      <c r="M62" s="9">
        <f t="shared" si="14"/>
        <v>-22.129999999999995</v>
      </c>
      <c r="N62" s="7">
        <f>(N14)-(N61)</f>
        <v>0</v>
      </c>
      <c r="O62" s="7">
        <f>(O14)-(O61)</f>
        <v>0</v>
      </c>
      <c r="P62" s="7">
        <f t="shared" si="15"/>
        <v>0</v>
      </c>
      <c r="Q62" s="7">
        <f>(Q14)-(Q61)</f>
        <v>49.399999999999636</v>
      </c>
      <c r="R62" s="9">
        <f>(R14)-(R61)</f>
        <v>-326.38000000000102</v>
      </c>
      <c r="S62" s="9">
        <f t="shared" si="16"/>
        <v>-375.78000000000065</v>
      </c>
      <c r="T62" s="7">
        <f>(T14)-(T61)</f>
        <v>259.03000000000003</v>
      </c>
      <c r="U62" s="7">
        <f>(U14)-(U61)</f>
        <v>10.519999999999982</v>
      </c>
      <c r="V62" s="9">
        <f t="shared" si="17"/>
        <v>-248.51000000000005</v>
      </c>
      <c r="W62" s="7">
        <f>(W14)-(W61)</f>
        <v>4744.9399999999951</v>
      </c>
      <c r="X62" s="7">
        <f>(X14)-(X61)</f>
        <v>3194.489999999998</v>
      </c>
      <c r="Y62" s="9">
        <f t="shared" si="18"/>
        <v>-1550.4499999999971</v>
      </c>
      <c r="Z62" s="9">
        <f>(Z14)-(Z61)</f>
        <v>-21.78</v>
      </c>
      <c r="AA62" s="7">
        <f>(AA14)-(AA61)</f>
        <v>0</v>
      </c>
      <c r="AB62" s="7">
        <f t="shared" si="19"/>
        <v>21.78</v>
      </c>
      <c r="AC62" s="7">
        <f t="shared" si="20"/>
        <v>6706.1399999999949</v>
      </c>
      <c r="AD62" s="7">
        <f t="shared" si="20"/>
        <v>2923.5599999999968</v>
      </c>
      <c r="AE62" s="9">
        <f t="shared" si="21"/>
        <v>-3782.5799999999981</v>
      </c>
    </row>
    <row r="63" spans="1:31" x14ac:dyDescent="0.3">
      <c r="A63" s="3" t="s">
        <v>112</v>
      </c>
      <c r="B63" s="7">
        <f>(B62)+(0)</f>
        <v>258.40999999999997</v>
      </c>
      <c r="C63" s="7">
        <f>(C62)+(0)</f>
        <v>15.569999999999936</v>
      </c>
      <c r="D63" s="9">
        <f t="shared" si="11"/>
        <v>-242.84000000000003</v>
      </c>
      <c r="E63" s="7">
        <f>(E62)+(0)</f>
        <v>416.59000000000003</v>
      </c>
      <c r="F63" s="9">
        <f>(F62)+(0)</f>
        <v>-645.74000000000024</v>
      </c>
      <c r="G63" s="9">
        <f t="shared" si="12"/>
        <v>-1062.3300000000004</v>
      </c>
      <c r="H63" s="7">
        <f>(H62)+(0)</f>
        <v>156.59000000000003</v>
      </c>
      <c r="I63" s="9">
        <f>(I62)+(0)</f>
        <v>-145.7299999999999</v>
      </c>
      <c r="J63" s="9">
        <f t="shared" si="13"/>
        <v>-302.31999999999994</v>
      </c>
      <c r="K63" s="7">
        <f>(K62)+(0)</f>
        <v>842.96</v>
      </c>
      <c r="L63" s="7">
        <f>(L62)+(0)</f>
        <v>820.83</v>
      </c>
      <c r="M63" s="9">
        <f t="shared" si="14"/>
        <v>-22.129999999999995</v>
      </c>
      <c r="N63" s="7">
        <f>(N62)+(0)</f>
        <v>0</v>
      </c>
      <c r="O63" s="7">
        <f>(O62)+(0)</f>
        <v>0</v>
      </c>
      <c r="P63" s="7">
        <f t="shared" si="15"/>
        <v>0</v>
      </c>
      <c r="Q63" s="7">
        <f>(Q62)+(0)</f>
        <v>49.399999999999636</v>
      </c>
      <c r="R63" s="9">
        <f>(R62)+(0)</f>
        <v>-326.38000000000102</v>
      </c>
      <c r="S63" s="9">
        <f t="shared" si="16"/>
        <v>-375.78000000000065</v>
      </c>
      <c r="T63" s="7">
        <f>(T62)+(0)</f>
        <v>259.03000000000003</v>
      </c>
      <c r="U63" s="7">
        <f>(U62)+(0)</f>
        <v>10.519999999999982</v>
      </c>
      <c r="V63" s="9">
        <f t="shared" si="17"/>
        <v>-248.51000000000005</v>
      </c>
      <c r="W63" s="7">
        <f>(W62)+(0)</f>
        <v>4744.9399999999951</v>
      </c>
      <c r="X63" s="7">
        <f>(X62)+(0)</f>
        <v>3194.489999999998</v>
      </c>
      <c r="Y63" s="9">
        <f t="shared" si="18"/>
        <v>-1550.4499999999971</v>
      </c>
      <c r="Z63" s="9">
        <f>(Z62)+(0)</f>
        <v>-21.78</v>
      </c>
      <c r="AA63" s="7">
        <f>(AA62)+(0)</f>
        <v>0</v>
      </c>
      <c r="AB63" s="7">
        <f t="shared" si="19"/>
        <v>21.78</v>
      </c>
      <c r="AC63" s="7">
        <f t="shared" si="20"/>
        <v>6706.1399999999949</v>
      </c>
      <c r="AD63" s="7">
        <f t="shared" si="20"/>
        <v>2923.5599999999968</v>
      </c>
      <c r="AE63" s="9">
        <f t="shared" si="21"/>
        <v>-3782.5799999999981</v>
      </c>
    </row>
    <row r="64" spans="1:31" x14ac:dyDescent="0.3">
      <c r="A64" s="3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</row>
    <row r="67" spans="1:31" x14ac:dyDescent="0.3">
      <c r="A67" s="13" t="s">
        <v>232</v>
      </c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</row>
  </sheetData>
  <mergeCells count="14">
    <mergeCell ref="W5:Y5"/>
    <mergeCell ref="Z5:AB5"/>
    <mergeCell ref="AC5:AE5"/>
    <mergeCell ref="A67:AE67"/>
    <mergeCell ref="A1:AE1"/>
    <mergeCell ref="A2:AE2"/>
    <mergeCell ref="A3:AE3"/>
    <mergeCell ref="B5:D5"/>
    <mergeCell ref="E5:G5"/>
    <mergeCell ref="H5:J5"/>
    <mergeCell ref="K5:M5"/>
    <mergeCell ref="N5:P5"/>
    <mergeCell ref="Q5:S5"/>
    <mergeCell ref="T5:V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AA5717-72EE-4AC9-BE80-8C69A95A010D}">
  <dimension ref="A1:AE69"/>
  <sheetViews>
    <sheetView tabSelected="1" workbookViewId="0">
      <selection activeCell="A6" sqref="A6"/>
    </sheetView>
  </sheetViews>
  <sheetFormatPr defaultRowHeight="14.4" x14ac:dyDescent="0.3"/>
  <cols>
    <col min="1" max="1" width="37" customWidth="1"/>
    <col min="2" max="2" width="10.33203125" customWidth="1"/>
    <col min="3" max="3" width="9.44140625" customWidth="1"/>
    <col min="4" max="4" width="10.33203125" customWidth="1"/>
    <col min="5" max="5" width="8.5546875" customWidth="1"/>
    <col min="6" max="6" width="10.33203125" customWidth="1"/>
    <col min="7" max="7" width="11.21875" customWidth="1"/>
    <col min="8" max="9" width="10.33203125" customWidth="1"/>
    <col min="10" max="13" width="8.5546875" customWidth="1"/>
    <col min="14" max="15" width="9.44140625" customWidth="1"/>
    <col min="16" max="16" width="11.21875" customWidth="1"/>
    <col min="17" max="18" width="10.33203125" customWidth="1"/>
    <col min="19" max="21" width="8.5546875" customWidth="1"/>
    <col min="22" max="24" width="10.33203125" customWidth="1"/>
    <col min="25" max="25" width="11.21875" customWidth="1"/>
    <col min="26" max="28" width="7.77734375" customWidth="1"/>
    <col min="29" max="30" width="10.33203125" customWidth="1"/>
    <col min="31" max="31" width="11.21875" customWidth="1"/>
  </cols>
  <sheetData>
    <row r="1" spans="1:31" ht="17.399999999999999" x14ac:dyDescent="0.3">
      <c r="A1" s="15" t="s">
        <v>38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</row>
    <row r="2" spans="1:31" ht="17.399999999999999" x14ac:dyDescent="0.3">
      <c r="A2" s="15" t="s">
        <v>41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</row>
    <row r="3" spans="1:31" x14ac:dyDescent="0.3">
      <c r="A3" s="16" t="s">
        <v>233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</row>
    <row r="5" spans="1:31" x14ac:dyDescent="0.3">
      <c r="A5" s="1"/>
      <c r="B5" s="17" t="s">
        <v>43</v>
      </c>
      <c r="C5" s="18"/>
      <c r="D5" s="18"/>
      <c r="E5" s="17" t="s">
        <v>44</v>
      </c>
      <c r="F5" s="18"/>
      <c r="G5" s="18"/>
      <c r="H5" s="17" t="s">
        <v>45</v>
      </c>
      <c r="I5" s="18"/>
      <c r="J5" s="18"/>
      <c r="K5" s="17" t="s">
        <v>46</v>
      </c>
      <c r="L5" s="18"/>
      <c r="M5" s="18"/>
      <c r="N5" s="17" t="s">
        <v>47</v>
      </c>
      <c r="O5" s="18"/>
      <c r="P5" s="18"/>
      <c r="Q5" s="17" t="s">
        <v>48</v>
      </c>
      <c r="R5" s="18"/>
      <c r="S5" s="18"/>
      <c r="T5" s="17" t="s">
        <v>49</v>
      </c>
      <c r="U5" s="18"/>
      <c r="V5" s="18"/>
      <c r="W5" s="17" t="s">
        <v>50</v>
      </c>
      <c r="X5" s="18"/>
      <c r="Y5" s="18"/>
      <c r="Z5" s="17" t="s">
        <v>51</v>
      </c>
      <c r="AA5" s="18"/>
      <c r="AB5" s="18"/>
      <c r="AC5" s="17" t="s">
        <v>52</v>
      </c>
      <c r="AD5" s="18"/>
      <c r="AE5" s="18"/>
    </row>
    <row r="6" spans="1:31" ht="24.6" x14ac:dyDescent="0.3">
      <c r="A6" s="1"/>
      <c r="B6" s="2" t="s">
        <v>53</v>
      </c>
      <c r="C6" s="2" t="s">
        <v>54</v>
      </c>
      <c r="D6" s="2" t="s">
        <v>55</v>
      </c>
      <c r="E6" s="2" t="s">
        <v>53</v>
      </c>
      <c r="F6" s="2" t="s">
        <v>54</v>
      </c>
      <c r="G6" s="2" t="s">
        <v>55</v>
      </c>
      <c r="H6" s="2" t="s">
        <v>53</v>
      </c>
      <c r="I6" s="2" t="s">
        <v>54</v>
      </c>
      <c r="J6" s="2" t="s">
        <v>55</v>
      </c>
      <c r="K6" s="2" t="s">
        <v>53</v>
      </c>
      <c r="L6" s="2" t="s">
        <v>54</v>
      </c>
      <c r="M6" s="2" t="s">
        <v>55</v>
      </c>
      <c r="N6" s="2" t="s">
        <v>53</v>
      </c>
      <c r="O6" s="2" t="s">
        <v>54</v>
      </c>
      <c r="P6" s="2" t="s">
        <v>55</v>
      </c>
      <c r="Q6" s="2" t="s">
        <v>53</v>
      </c>
      <c r="R6" s="2" t="s">
        <v>54</v>
      </c>
      <c r="S6" s="2" t="s">
        <v>55</v>
      </c>
      <c r="T6" s="2" t="s">
        <v>53</v>
      </c>
      <c r="U6" s="2" t="s">
        <v>54</v>
      </c>
      <c r="V6" s="2" t="s">
        <v>55</v>
      </c>
      <c r="W6" s="2" t="s">
        <v>53</v>
      </c>
      <c r="X6" s="2" t="s">
        <v>54</v>
      </c>
      <c r="Y6" s="2" t="s">
        <v>55</v>
      </c>
      <c r="Z6" s="2" t="s">
        <v>53</v>
      </c>
      <c r="AA6" s="2" t="s">
        <v>54</v>
      </c>
      <c r="AB6" s="2" t="s">
        <v>55</v>
      </c>
      <c r="AC6" s="2" t="s">
        <v>53</v>
      </c>
      <c r="AD6" s="2" t="s">
        <v>54</v>
      </c>
      <c r="AE6" s="2" t="s">
        <v>55</v>
      </c>
    </row>
    <row r="7" spans="1:31" x14ac:dyDescent="0.3">
      <c r="A7" s="3" t="s">
        <v>56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</row>
    <row r="8" spans="1:31" x14ac:dyDescent="0.3">
      <c r="A8" s="3" t="s">
        <v>57</v>
      </c>
      <c r="B8" s="4"/>
      <c r="C8" s="4"/>
      <c r="D8" s="5">
        <f t="shared" ref="D8:D14" si="0">(C8)-(B8)</f>
        <v>0</v>
      </c>
      <c r="E8" s="4"/>
      <c r="F8" s="4"/>
      <c r="G8" s="5">
        <f t="shared" ref="G8:G14" si="1">(F8)-(E8)</f>
        <v>0</v>
      </c>
      <c r="H8" s="4"/>
      <c r="I8" s="4"/>
      <c r="J8" s="5">
        <f t="shared" ref="J8:J14" si="2">(I8)-(H8)</f>
        <v>0</v>
      </c>
      <c r="K8" s="4"/>
      <c r="L8" s="4"/>
      <c r="M8" s="5">
        <f t="shared" ref="M8:M14" si="3">(L8)-(K8)</f>
        <v>0</v>
      </c>
      <c r="N8" s="4"/>
      <c r="O8" s="4"/>
      <c r="P8" s="5">
        <f t="shared" ref="P8:P14" si="4">(O8)-(N8)</f>
        <v>0</v>
      </c>
      <c r="Q8" s="4"/>
      <c r="R8" s="4"/>
      <c r="S8" s="5">
        <f t="shared" ref="S8:S14" si="5">(R8)-(Q8)</f>
        <v>0</v>
      </c>
      <c r="T8" s="4"/>
      <c r="U8" s="4"/>
      <c r="V8" s="5">
        <f t="shared" ref="V8:V14" si="6">(U8)-(T8)</f>
        <v>0</v>
      </c>
      <c r="W8" s="4"/>
      <c r="X8" s="4"/>
      <c r="Y8" s="5">
        <f t="shared" ref="Y8:Y14" si="7">(X8)-(W8)</f>
        <v>0</v>
      </c>
      <c r="Z8" s="4"/>
      <c r="AA8" s="4"/>
      <c r="AB8" s="5">
        <f t="shared" ref="AB8:AB14" si="8">(AA8)-(Z8)</f>
        <v>0</v>
      </c>
      <c r="AC8" s="5">
        <f t="shared" ref="AC8:AD14" si="9">((((((((B8)+(E8))+(H8))+(K8))+(N8))+(Q8))+(T8))+(W8))+(Z8)</f>
        <v>0</v>
      </c>
      <c r="AD8" s="5">
        <f t="shared" si="9"/>
        <v>0</v>
      </c>
      <c r="AE8" s="5">
        <f t="shared" ref="AE8:AE14" si="10">(AD8)-(AC8)</f>
        <v>0</v>
      </c>
    </row>
    <row r="9" spans="1:31" x14ac:dyDescent="0.3">
      <c r="A9" s="3" t="s">
        <v>58</v>
      </c>
      <c r="B9" s="4"/>
      <c r="C9" s="4"/>
      <c r="D9" s="5">
        <f t="shared" si="0"/>
        <v>0</v>
      </c>
      <c r="E9" s="4"/>
      <c r="F9" s="5">
        <f>22916.63</f>
        <v>22916.63</v>
      </c>
      <c r="G9" s="5">
        <f t="shared" si="1"/>
        <v>22916.63</v>
      </c>
      <c r="H9" s="4"/>
      <c r="I9" s="4"/>
      <c r="J9" s="5">
        <f t="shared" si="2"/>
        <v>0</v>
      </c>
      <c r="K9" s="4"/>
      <c r="L9" s="4"/>
      <c r="M9" s="5">
        <f t="shared" si="3"/>
        <v>0</v>
      </c>
      <c r="N9" s="5">
        <f>12500</f>
        <v>12500</v>
      </c>
      <c r="O9" s="5">
        <f>11458.37</f>
        <v>11458.37</v>
      </c>
      <c r="P9" s="8">
        <f t="shared" si="4"/>
        <v>-1041.6299999999992</v>
      </c>
      <c r="Q9" s="4"/>
      <c r="R9" s="4"/>
      <c r="S9" s="5">
        <f t="shared" si="5"/>
        <v>0</v>
      </c>
      <c r="T9" s="4"/>
      <c r="U9" s="4"/>
      <c r="V9" s="5">
        <f t="shared" si="6"/>
        <v>0</v>
      </c>
      <c r="W9" s="4"/>
      <c r="X9" s="4"/>
      <c r="Y9" s="5">
        <f t="shared" si="7"/>
        <v>0</v>
      </c>
      <c r="Z9" s="4"/>
      <c r="AA9" s="4"/>
      <c r="AB9" s="5">
        <f t="shared" si="8"/>
        <v>0</v>
      </c>
      <c r="AC9" s="5">
        <f t="shared" si="9"/>
        <v>12500</v>
      </c>
      <c r="AD9" s="5">
        <f t="shared" si="9"/>
        <v>34375</v>
      </c>
      <c r="AE9" s="5">
        <f t="shared" si="10"/>
        <v>21875</v>
      </c>
    </row>
    <row r="10" spans="1:31" x14ac:dyDescent="0.3">
      <c r="A10" s="3" t="s">
        <v>59</v>
      </c>
      <c r="B10" s="7">
        <f>(B8)+(B9)</f>
        <v>0</v>
      </c>
      <c r="C10" s="7">
        <f>(C8)+(C9)</f>
        <v>0</v>
      </c>
      <c r="D10" s="7">
        <f t="shared" si="0"/>
        <v>0</v>
      </c>
      <c r="E10" s="7">
        <f>(E8)+(E9)</f>
        <v>0</v>
      </c>
      <c r="F10" s="7">
        <f>(F8)+(F9)</f>
        <v>22916.63</v>
      </c>
      <c r="G10" s="7">
        <f t="shared" si="1"/>
        <v>22916.63</v>
      </c>
      <c r="H10" s="7">
        <f>(H8)+(H9)</f>
        <v>0</v>
      </c>
      <c r="I10" s="7">
        <f>(I8)+(I9)</f>
        <v>0</v>
      </c>
      <c r="J10" s="7">
        <f t="shared" si="2"/>
        <v>0</v>
      </c>
      <c r="K10" s="7">
        <f>(K8)+(K9)</f>
        <v>0</v>
      </c>
      <c r="L10" s="7">
        <f>(L8)+(L9)</f>
        <v>0</v>
      </c>
      <c r="M10" s="7">
        <f t="shared" si="3"/>
        <v>0</v>
      </c>
      <c r="N10" s="7">
        <f>(N8)+(N9)</f>
        <v>12500</v>
      </c>
      <c r="O10" s="7">
        <f>(O8)+(O9)</f>
        <v>11458.37</v>
      </c>
      <c r="P10" s="9">
        <f t="shared" si="4"/>
        <v>-1041.6299999999992</v>
      </c>
      <c r="Q10" s="7">
        <f>(Q8)+(Q9)</f>
        <v>0</v>
      </c>
      <c r="R10" s="7">
        <f>(R8)+(R9)</f>
        <v>0</v>
      </c>
      <c r="S10" s="7">
        <f t="shared" si="5"/>
        <v>0</v>
      </c>
      <c r="T10" s="7">
        <f>(T8)+(T9)</f>
        <v>0</v>
      </c>
      <c r="U10" s="7">
        <f>(U8)+(U9)</f>
        <v>0</v>
      </c>
      <c r="V10" s="7">
        <f t="shared" si="6"/>
        <v>0</v>
      </c>
      <c r="W10" s="7">
        <f>(W8)+(W9)</f>
        <v>0</v>
      </c>
      <c r="X10" s="7">
        <f>(X8)+(X9)</f>
        <v>0</v>
      </c>
      <c r="Y10" s="7">
        <f t="shared" si="7"/>
        <v>0</v>
      </c>
      <c r="Z10" s="7">
        <f>(Z8)+(Z9)</f>
        <v>0</v>
      </c>
      <c r="AA10" s="7">
        <f>(AA8)+(AA9)</f>
        <v>0</v>
      </c>
      <c r="AB10" s="7">
        <f t="shared" si="8"/>
        <v>0</v>
      </c>
      <c r="AC10" s="7">
        <f t="shared" si="9"/>
        <v>12500</v>
      </c>
      <c r="AD10" s="7">
        <f t="shared" si="9"/>
        <v>34375</v>
      </c>
      <c r="AE10" s="7">
        <f t="shared" si="10"/>
        <v>21875</v>
      </c>
    </row>
    <row r="11" spans="1:31" x14ac:dyDescent="0.3">
      <c r="A11" s="3" t="s">
        <v>60</v>
      </c>
      <c r="B11" s="4"/>
      <c r="C11" s="5">
        <f>6554.13</f>
        <v>6554.13</v>
      </c>
      <c r="D11" s="5">
        <f t="shared" si="0"/>
        <v>6554.13</v>
      </c>
      <c r="E11" s="4"/>
      <c r="F11" s="4"/>
      <c r="G11" s="5">
        <f t="shared" si="1"/>
        <v>0</v>
      </c>
      <c r="H11" s="4"/>
      <c r="I11" s="5">
        <f>1833.37</f>
        <v>1833.37</v>
      </c>
      <c r="J11" s="5">
        <f t="shared" si="2"/>
        <v>1833.37</v>
      </c>
      <c r="K11" s="5">
        <f>9141.94</f>
        <v>9141.94</v>
      </c>
      <c r="L11" s="5">
        <f>9029.13</f>
        <v>9029.1299999999992</v>
      </c>
      <c r="M11" s="8">
        <f t="shared" si="3"/>
        <v>-112.81000000000131</v>
      </c>
      <c r="N11" s="4"/>
      <c r="O11" s="4"/>
      <c r="P11" s="5">
        <f t="shared" si="4"/>
        <v>0</v>
      </c>
      <c r="Q11" s="4"/>
      <c r="R11" s="5">
        <f>641.63</f>
        <v>641.63</v>
      </c>
      <c r="S11" s="5">
        <f t="shared" si="5"/>
        <v>641.63</v>
      </c>
      <c r="T11" s="4"/>
      <c r="U11" s="4"/>
      <c r="V11" s="5">
        <f t="shared" si="6"/>
        <v>0</v>
      </c>
      <c r="W11" s="4"/>
      <c r="X11" s="4"/>
      <c r="Y11" s="5">
        <f t="shared" si="7"/>
        <v>0</v>
      </c>
      <c r="Z11" s="4"/>
      <c r="AA11" s="4"/>
      <c r="AB11" s="5">
        <f t="shared" si="8"/>
        <v>0</v>
      </c>
      <c r="AC11" s="5">
        <f t="shared" si="9"/>
        <v>9141.94</v>
      </c>
      <c r="AD11" s="5">
        <f t="shared" si="9"/>
        <v>18058.259999999998</v>
      </c>
      <c r="AE11" s="5">
        <f t="shared" si="10"/>
        <v>8916.3199999999979</v>
      </c>
    </row>
    <row r="12" spans="1:31" x14ac:dyDescent="0.3">
      <c r="A12" s="3" t="s">
        <v>61</v>
      </c>
      <c r="B12" s="5">
        <f>5674.99</f>
        <v>5674.99</v>
      </c>
      <c r="C12" s="5">
        <f>5727.81</f>
        <v>5727.81</v>
      </c>
      <c r="D12" s="5">
        <f t="shared" si="0"/>
        <v>52.820000000000618</v>
      </c>
      <c r="E12" s="5">
        <f>5674.99</f>
        <v>5674.99</v>
      </c>
      <c r="F12" s="5">
        <f>5727.81</f>
        <v>5727.81</v>
      </c>
      <c r="G12" s="5">
        <f t="shared" si="1"/>
        <v>52.820000000000618</v>
      </c>
      <c r="H12" s="5">
        <f>5674.99</f>
        <v>5674.99</v>
      </c>
      <c r="I12" s="5">
        <f>5727.81</f>
        <v>5727.81</v>
      </c>
      <c r="J12" s="5">
        <f t="shared" si="2"/>
        <v>52.820000000000618</v>
      </c>
      <c r="K12" s="4"/>
      <c r="L12" s="4"/>
      <c r="M12" s="5">
        <f t="shared" si="3"/>
        <v>0</v>
      </c>
      <c r="N12" s="4"/>
      <c r="O12" s="4"/>
      <c r="P12" s="5">
        <f t="shared" si="4"/>
        <v>0</v>
      </c>
      <c r="Q12" s="5">
        <f>119174.81</f>
        <v>119174.81</v>
      </c>
      <c r="R12" s="5">
        <f>120283.02</f>
        <v>120283.02</v>
      </c>
      <c r="S12" s="5">
        <f t="shared" si="5"/>
        <v>1108.2100000000064</v>
      </c>
      <c r="T12" s="5">
        <f>5674.99</f>
        <v>5674.99</v>
      </c>
      <c r="U12" s="5">
        <f>5727.81</f>
        <v>5727.81</v>
      </c>
      <c r="V12" s="5">
        <f t="shared" si="6"/>
        <v>52.820000000000618</v>
      </c>
      <c r="W12" s="5">
        <f>425624.32</f>
        <v>425624.32000000001</v>
      </c>
      <c r="X12" s="5">
        <f>429582.12</f>
        <v>429582.12</v>
      </c>
      <c r="Y12" s="5">
        <f t="shared" si="7"/>
        <v>3957.7999999999884</v>
      </c>
      <c r="Z12" s="4"/>
      <c r="AA12" s="4"/>
      <c r="AB12" s="5">
        <f t="shared" si="8"/>
        <v>0</v>
      </c>
      <c r="AC12" s="5">
        <f t="shared" si="9"/>
        <v>567499.09</v>
      </c>
      <c r="AD12" s="5">
        <f t="shared" si="9"/>
        <v>572776.38</v>
      </c>
      <c r="AE12" s="5">
        <f t="shared" si="10"/>
        <v>5277.2900000000373</v>
      </c>
    </row>
    <row r="13" spans="1:31" x14ac:dyDescent="0.3">
      <c r="A13" s="3" t="s">
        <v>62</v>
      </c>
      <c r="B13" s="7">
        <f>((B10)+(B11))+(B12)</f>
        <v>5674.99</v>
      </c>
      <c r="C13" s="7">
        <f>((C10)+(C11))+(C12)</f>
        <v>12281.94</v>
      </c>
      <c r="D13" s="7">
        <f t="shared" si="0"/>
        <v>6606.9500000000007</v>
      </c>
      <c r="E13" s="7">
        <f>((E10)+(E11))+(E12)</f>
        <v>5674.99</v>
      </c>
      <c r="F13" s="7">
        <f>((F10)+(F11))+(F12)</f>
        <v>28644.440000000002</v>
      </c>
      <c r="G13" s="7">
        <f t="shared" si="1"/>
        <v>22969.450000000004</v>
      </c>
      <c r="H13" s="7">
        <f>((H10)+(H11))+(H12)</f>
        <v>5674.99</v>
      </c>
      <c r="I13" s="7">
        <f>((I10)+(I11))+(I12)</f>
        <v>7561.18</v>
      </c>
      <c r="J13" s="7">
        <f t="shared" si="2"/>
        <v>1886.1900000000005</v>
      </c>
      <c r="K13" s="7">
        <f>((K10)+(K11))+(K12)</f>
        <v>9141.94</v>
      </c>
      <c r="L13" s="7">
        <f>((L10)+(L11))+(L12)</f>
        <v>9029.1299999999992</v>
      </c>
      <c r="M13" s="9">
        <f t="shared" si="3"/>
        <v>-112.81000000000131</v>
      </c>
      <c r="N13" s="7">
        <f>((N10)+(N11))+(N12)</f>
        <v>12500</v>
      </c>
      <c r="O13" s="7">
        <f>((O10)+(O11))+(O12)</f>
        <v>11458.37</v>
      </c>
      <c r="P13" s="9">
        <f t="shared" si="4"/>
        <v>-1041.6299999999992</v>
      </c>
      <c r="Q13" s="7">
        <f>((Q10)+(Q11))+(Q12)</f>
        <v>119174.81</v>
      </c>
      <c r="R13" s="7">
        <f>((R10)+(R11))+(R12)</f>
        <v>120924.65000000001</v>
      </c>
      <c r="S13" s="7">
        <f t="shared" si="5"/>
        <v>1749.8400000000111</v>
      </c>
      <c r="T13" s="7">
        <f>((T10)+(T11))+(T12)</f>
        <v>5674.99</v>
      </c>
      <c r="U13" s="7">
        <f>((U10)+(U11))+(U12)</f>
        <v>5727.81</v>
      </c>
      <c r="V13" s="7">
        <f t="shared" si="6"/>
        <v>52.820000000000618</v>
      </c>
      <c r="W13" s="7">
        <f>((W10)+(W11))+(W12)</f>
        <v>425624.32000000001</v>
      </c>
      <c r="X13" s="7">
        <f>((X10)+(X11))+(X12)</f>
        <v>429582.12</v>
      </c>
      <c r="Y13" s="7">
        <f t="shared" si="7"/>
        <v>3957.7999999999884</v>
      </c>
      <c r="Z13" s="7">
        <f>((Z10)+(Z11))+(Z12)</f>
        <v>0</v>
      </c>
      <c r="AA13" s="7">
        <f>((AA10)+(AA11))+(AA12)</f>
        <v>0</v>
      </c>
      <c r="AB13" s="7">
        <f t="shared" si="8"/>
        <v>0</v>
      </c>
      <c r="AC13" s="7">
        <f t="shared" si="9"/>
        <v>589141.03</v>
      </c>
      <c r="AD13" s="7">
        <f t="shared" si="9"/>
        <v>625209.64</v>
      </c>
      <c r="AE13" s="7">
        <f t="shared" si="10"/>
        <v>36068.609999999986</v>
      </c>
    </row>
    <row r="14" spans="1:31" x14ac:dyDescent="0.3">
      <c r="A14" s="3" t="s">
        <v>63</v>
      </c>
      <c r="B14" s="7">
        <f>(B13)-(0)</f>
        <v>5674.99</v>
      </c>
      <c r="C14" s="7">
        <f>(C13)-(0)</f>
        <v>12281.94</v>
      </c>
      <c r="D14" s="7">
        <f t="shared" si="0"/>
        <v>6606.9500000000007</v>
      </c>
      <c r="E14" s="7">
        <f>(E13)-(0)</f>
        <v>5674.99</v>
      </c>
      <c r="F14" s="7">
        <f>(F13)-(0)</f>
        <v>28644.440000000002</v>
      </c>
      <c r="G14" s="7">
        <f t="shared" si="1"/>
        <v>22969.450000000004</v>
      </c>
      <c r="H14" s="7">
        <f>(H13)-(0)</f>
        <v>5674.99</v>
      </c>
      <c r="I14" s="7">
        <f>(I13)-(0)</f>
        <v>7561.18</v>
      </c>
      <c r="J14" s="7">
        <f t="shared" si="2"/>
        <v>1886.1900000000005</v>
      </c>
      <c r="K14" s="7">
        <f>(K13)-(0)</f>
        <v>9141.94</v>
      </c>
      <c r="L14" s="7">
        <f>(L13)-(0)</f>
        <v>9029.1299999999992</v>
      </c>
      <c r="M14" s="9">
        <f t="shared" si="3"/>
        <v>-112.81000000000131</v>
      </c>
      <c r="N14" s="7">
        <f>(N13)-(0)</f>
        <v>12500</v>
      </c>
      <c r="O14" s="7">
        <f>(O13)-(0)</f>
        <v>11458.37</v>
      </c>
      <c r="P14" s="9">
        <f t="shared" si="4"/>
        <v>-1041.6299999999992</v>
      </c>
      <c r="Q14" s="7">
        <f>(Q13)-(0)</f>
        <v>119174.81</v>
      </c>
      <c r="R14" s="7">
        <f>(R13)-(0)</f>
        <v>120924.65000000001</v>
      </c>
      <c r="S14" s="7">
        <f t="shared" si="5"/>
        <v>1749.8400000000111</v>
      </c>
      <c r="T14" s="7">
        <f>(T13)-(0)</f>
        <v>5674.99</v>
      </c>
      <c r="U14" s="7">
        <f>(U13)-(0)</f>
        <v>5727.81</v>
      </c>
      <c r="V14" s="7">
        <f t="shared" si="6"/>
        <v>52.820000000000618</v>
      </c>
      <c r="W14" s="7">
        <f>(W13)-(0)</f>
        <v>425624.32000000001</v>
      </c>
      <c r="X14" s="7">
        <f>(X13)-(0)</f>
        <v>429582.12</v>
      </c>
      <c r="Y14" s="7">
        <f t="shared" si="7"/>
        <v>3957.7999999999884</v>
      </c>
      <c r="Z14" s="7">
        <f>(Z13)-(0)</f>
        <v>0</v>
      </c>
      <c r="AA14" s="7">
        <f>(AA13)-(0)</f>
        <v>0</v>
      </c>
      <c r="AB14" s="7">
        <f t="shared" si="8"/>
        <v>0</v>
      </c>
      <c r="AC14" s="7">
        <f t="shared" si="9"/>
        <v>589141.03</v>
      </c>
      <c r="AD14" s="7">
        <f t="shared" si="9"/>
        <v>625209.64</v>
      </c>
      <c r="AE14" s="7">
        <f t="shared" si="10"/>
        <v>36068.609999999986</v>
      </c>
    </row>
    <row r="15" spans="1:31" x14ac:dyDescent="0.3">
      <c r="A15" s="3" t="s">
        <v>64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</row>
    <row r="16" spans="1:31" x14ac:dyDescent="0.3">
      <c r="A16" s="3" t="s">
        <v>65</v>
      </c>
      <c r="B16" s="4"/>
      <c r="C16" s="4"/>
      <c r="D16" s="5">
        <f t="shared" ref="D16:D65" si="11">(C16)-(B16)</f>
        <v>0</v>
      </c>
      <c r="E16" s="4"/>
      <c r="F16" s="4"/>
      <c r="G16" s="5">
        <f t="shared" ref="G16:G65" si="12">(F16)-(E16)</f>
        <v>0</v>
      </c>
      <c r="H16" s="4"/>
      <c r="I16" s="4"/>
      <c r="J16" s="5">
        <f t="shared" ref="J16:J65" si="13">(I16)-(H16)</f>
        <v>0</v>
      </c>
      <c r="K16" s="4"/>
      <c r="L16" s="4"/>
      <c r="M16" s="5">
        <f t="shared" ref="M16:M65" si="14">(L16)-(K16)</f>
        <v>0</v>
      </c>
      <c r="N16" s="4"/>
      <c r="O16" s="4"/>
      <c r="P16" s="5">
        <f t="shared" ref="P16:P65" si="15">(O16)-(N16)</f>
        <v>0</v>
      </c>
      <c r="Q16" s="4"/>
      <c r="R16" s="4"/>
      <c r="S16" s="5">
        <f t="shared" ref="S16:S65" si="16">(R16)-(Q16)</f>
        <v>0</v>
      </c>
      <c r="T16" s="4"/>
      <c r="U16" s="4"/>
      <c r="V16" s="5">
        <f t="shared" ref="V16:V65" si="17">(U16)-(T16)</f>
        <v>0</v>
      </c>
      <c r="W16" s="4"/>
      <c r="X16" s="4"/>
      <c r="Y16" s="5">
        <f t="shared" ref="Y16:Y65" si="18">(X16)-(W16)</f>
        <v>0</v>
      </c>
      <c r="Z16" s="4"/>
      <c r="AA16" s="4"/>
      <c r="AB16" s="5">
        <f t="shared" ref="AB16:AB65" si="19">(AA16)-(Z16)</f>
        <v>0</v>
      </c>
      <c r="AC16" s="5">
        <f t="shared" ref="AC16:AD47" si="20">((((((((B16)+(E16))+(H16))+(K16))+(N16))+(Q16))+(T16))+(W16))+(Z16)</f>
        <v>0</v>
      </c>
      <c r="AD16" s="5">
        <f t="shared" si="20"/>
        <v>0</v>
      </c>
      <c r="AE16" s="5">
        <f t="shared" ref="AE16:AE65" si="21">(AD16)-(AC16)</f>
        <v>0</v>
      </c>
    </row>
    <row r="17" spans="1:31" x14ac:dyDescent="0.3">
      <c r="A17" s="3" t="s">
        <v>66</v>
      </c>
      <c r="B17" s="5">
        <f>1809</f>
        <v>1809</v>
      </c>
      <c r="C17" s="5">
        <f>901.12</f>
        <v>901.12</v>
      </c>
      <c r="D17" s="8">
        <f t="shared" si="11"/>
        <v>-907.88</v>
      </c>
      <c r="E17" s="4"/>
      <c r="F17" s="4"/>
      <c r="G17" s="5">
        <f t="shared" si="12"/>
        <v>0</v>
      </c>
      <c r="H17" s="4"/>
      <c r="I17" s="4"/>
      <c r="J17" s="5">
        <f t="shared" si="13"/>
        <v>0</v>
      </c>
      <c r="K17" s="4"/>
      <c r="L17" s="4"/>
      <c r="M17" s="5">
        <f t="shared" si="14"/>
        <v>0</v>
      </c>
      <c r="N17" s="4"/>
      <c r="O17" s="4"/>
      <c r="P17" s="5">
        <f t="shared" si="15"/>
        <v>0</v>
      </c>
      <c r="Q17" s="4"/>
      <c r="R17" s="4"/>
      <c r="S17" s="5">
        <f t="shared" si="16"/>
        <v>0</v>
      </c>
      <c r="T17" s="4"/>
      <c r="U17" s="4"/>
      <c r="V17" s="5">
        <f t="shared" si="17"/>
        <v>0</v>
      </c>
      <c r="W17" s="4"/>
      <c r="X17" s="4"/>
      <c r="Y17" s="5">
        <f t="shared" si="18"/>
        <v>0</v>
      </c>
      <c r="Z17" s="4"/>
      <c r="AA17" s="4"/>
      <c r="AB17" s="5">
        <f t="shared" si="19"/>
        <v>0</v>
      </c>
      <c r="AC17" s="5">
        <f t="shared" si="20"/>
        <v>1809</v>
      </c>
      <c r="AD17" s="5">
        <f t="shared" si="20"/>
        <v>901.12</v>
      </c>
      <c r="AE17" s="8">
        <f t="shared" si="21"/>
        <v>-907.88</v>
      </c>
    </row>
    <row r="18" spans="1:31" x14ac:dyDescent="0.3">
      <c r="A18" s="3" t="s">
        <v>67</v>
      </c>
      <c r="B18" s="4"/>
      <c r="C18" s="4"/>
      <c r="D18" s="5">
        <f t="shared" si="11"/>
        <v>0</v>
      </c>
      <c r="E18" s="4"/>
      <c r="F18" s="4"/>
      <c r="G18" s="5">
        <f t="shared" si="12"/>
        <v>0</v>
      </c>
      <c r="H18" s="4"/>
      <c r="I18" s="4"/>
      <c r="J18" s="5">
        <f t="shared" si="13"/>
        <v>0</v>
      </c>
      <c r="K18" s="4"/>
      <c r="L18" s="4"/>
      <c r="M18" s="5">
        <f t="shared" si="14"/>
        <v>0</v>
      </c>
      <c r="N18" s="4"/>
      <c r="O18" s="4"/>
      <c r="P18" s="5">
        <f t="shared" si="15"/>
        <v>0</v>
      </c>
      <c r="Q18" s="4"/>
      <c r="R18" s="4"/>
      <c r="S18" s="5">
        <f t="shared" si="16"/>
        <v>0</v>
      </c>
      <c r="T18" s="4"/>
      <c r="U18" s="4"/>
      <c r="V18" s="5">
        <f t="shared" si="17"/>
        <v>0</v>
      </c>
      <c r="W18" s="4"/>
      <c r="X18" s="4"/>
      <c r="Y18" s="5">
        <f t="shared" si="18"/>
        <v>0</v>
      </c>
      <c r="Z18" s="4"/>
      <c r="AA18" s="4"/>
      <c r="AB18" s="5">
        <f t="shared" si="19"/>
        <v>0</v>
      </c>
      <c r="AC18" s="5">
        <f t="shared" si="20"/>
        <v>0</v>
      </c>
      <c r="AD18" s="5">
        <f t="shared" si="20"/>
        <v>0</v>
      </c>
      <c r="AE18" s="5">
        <f t="shared" si="21"/>
        <v>0</v>
      </c>
    </row>
    <row r="19" spans="1:31" x14ac:dyDescent="0.3">
      <c r="A19" s="3" t="s">
        <v>68</v>
      </c>
      <c r="B19" s="5">
        <f>1439.51</f>
        <v>1439.51</v>
      </c>
      <c r="C19" s="5">
        <f>1833.37</f>
        <v>1833.37</v>
      </c>
      <c r="D19" s="5">
        <f t="shared" si="11"/>
        <v>393.8599999999999</v>
      </c>
      <c r="E19" s="4"/>
      <c r="F19" s="4"/>
      <c r="G19" s="5">
        <f t="shared" si="12"/>
        <v>0</v>
      </c>
      <c r="H19" s="4"/>
      <c r="I19" s="5">
        <f>0</f>
        <v>0</v>
      </c>
      <c r="J19" s="5">
        <f t="shared" si="13"/>
        <v>0</v>
      </c>
      <c r="K19" s="4"/>
      <c r="L19" s="4"/>
      <c r="M19" s="5">
        <f t="shared" si="14"/>
        <v>0</v>
      </c>
      <c r="N19" s="4"/>
      <c r="O19" s="4"/>
      <c r="P19" s="5">
        <f t="shared" si="15"/>
        <v>0</v>
      </c>
      <c r="Q19" s="4"/>
      <c r="R19" s="4"/>
      <c r="S19" s="5">
        <f t="shared" si="16"/>
        <v>0</v>
      </c>
      <c r="T19" s="4"/>
      <c r="U19" s="4"/>
      <c r="V19" s="5">
        <f t="shared" si="17"/>
        <v>0</v>
      </c>
      <c r="W19" s="4"/>
      <c r="X19" s="4"/>
      <c r="Y19" s="5">
        <f t="shared" si="18"/>
        <v>0</v>
      </c>
      <c r="Z19" s="5">
        <f>21.78</f>
        <v>21.78</v>
      </c>
      <c r="AA19" s="4"/>
      <c r="AB19" s="8">
        <f t="shared" si="19"/>
        <v>-21.78</v>
      </c>
      <c r="AC19" s="5">
        <f t="shared" si="20"/>
        <v>1461.29</v>
      </c>
      <c r="AD19" s="5">
        <f t="shared" si="20"/>
        <v>1833.37</v>
      </c>
      <c r="AE19" s="5">
        <f t="shared" si="21"/>
        <v>372.07999999999993</v>
      </c>
    </row>
    <row r="20" spans="1:31" x14ac:dyDescent="0.3">
      <c r="A20" s="3" t="s">
        <v>69</v>
      </c>
      <c r="B20" s="5">
        <f>459.04</f>
        <v>459.04</v>
      </c>
      <c r="C20" s="5">
        <f>458.37</f>
        <v>458.37</v>
      </c>
      <c r="D20" s="8">
        <f t="shared" si="11"/>
        <v>-0.67000000000001592</v>
      </c>
      <c r="E20" s="4"/>
      <c r="F20" s="4"/>
      <c r="G20" s="5">
        <f t="shared" si="12"/>
        <v>0</v>
      </c>
      <c r="H20" s="4"/>
      <c r="I20" s="4"/>
      <c r="J20" s="5">
        <f t="shared" si="13"/>
        <v>0</v>
      </c>
      <c r="K20" s="4"/>
      <c r="L20" s="4"/>
      <c r="M20" s="5">
        <f t="shared" si="14"/>
        <v>0</v>
      </c>
      <c r="N20" s="4"/>
      <c r="O20" s="4"/>
      <c r="P20" s="5">
        <f t="shared" si="15"/>
        <v>0</v>
      </c>
      <c r="Q20" s="4"/>
      <c r="R20" s="4"/>
      <c r="S20" s="5">
        <f t="shared" si="16"/>
        <v>0</v>
      </c>
      <c r="T20" s="4"/>
      <c r="U20" s="4"/>
      <c r="V20" s="5">
        <f t="shared" si="17"/>
        <v>0</v>
      </c>
      <c r="W20" s="4"/>
      <c r="X20" s="4"/>
      <c r="Y20" s="5">
        <f t="shared" si="18"/>
        <v>0</v>
      </c>
      <c r="Z20" s="4"/>
      <c r="AA20" s="4"/>
      <c r="AB20" s="5">
        <f t="shared" si="19"/>
        <v>0</v>
      </c>
      <c r="AC20" s="5">
        <f t="shared" si="20"/>
        <v>459.04</v>
      </c>
      <c r="AD20" s="5">
        <f t="shared" si="20"/>
        <v>458.37</v>
      </c>
      <c r="AE20" s="8">
        <f t="shared" si="21"/>
        <v>-0.67000000000001592</v>
      </c>
    </row>
    <row r="21" spans="1:31" x14ac:dyDescent="0.3">
      <c r="A21" s="3" t="s">
        <v>70</v>
      </c>
      <c r="B21" s="7">
        <f>((B18)+(B19))+(B20)</f>
        <v>1898.55</v>
      </c>
      <c r="C21" s="7">
        <f>((C18)+(C19))+(C20)</f>
        <v>2291.7399999999998</v>
      </c>
      <c r="D21" s="7">
        <f t="shared" si="11"/>
        <v>393.18999999999983</v>
      </c>
      <c r="E21" s="7">
        <f>((E18)+(E19))+(E20)</f>
        <v>0</v>
      </c>
      <c r="F21" s="7">
        <f>((F18)+(F19))+(F20)</f>
        <v>0</v>
      </c>
      <c r="G21" s="7">
        <f t="shared" si="12"/>
        <v>0</v>
      </c>
      <c r="H21" s="7">
        <f>((H18)+(H19))+(H20)</f>
        <v>0</v>
      </c>
      <c r="I21" s="7">
        <f>((I18)+(I19))+(I20)</f>
        <v>0</v>
      </c>
      <c r="J21" s="7">
        <f t="shared" si="13"/>
        <v>0</v>
      </c>
      <c r="K21" s="7">
        <f>((K18)+(K19))+(K20)</f>
        <v>0</v>
      </c>
      <c r="L21" s="7">
        <f>((L18)+(L19))+(L20)</f>
        <v>0</v>
      </c>
      <c r="M21" s="7">
        <f t="shared" si="14"/>
        <v>0</v>
      </c>
      <c r="N21" s="7">
        <f>((N18)+(N19))+(N20)</f>
        <v>0</v>
      </c>
      <c r="O21" s="7">
        <f>((O18)+(O19))+(O20)</f>
        <v>0</v>
      </c>
      <c r="P21" s="7">
        <f t="shared" si="15"/>
        <v>0</v>
      </c>
      <c r="Q21" s="7">
        <f>((Q18)+(Q19))+(Q20)</f>
        <v>0</v>
      </c>
      <c r="R21" s="7">
        <f>((R18)+(R19))+(R20)</f>
        <v>0</v>
      </c>
      <c r="S21" s="7">
        <f t="shared" si="16"/>
        <v>0</v>
      </c>
      <c r="T21" s="7">
        <f>((T18)+(T19))+(T20)</f>
        <v>0</v>
      </c>
      <c r="U21" s="7">
        <f>((U18)+(U19))+(U20)</f>
        <v>0</v>
      </c>
      <c r="V21" s="7">
        <f t="shared" si="17"/>
        <v>0</v>
      </c>
      <c r="W21" s="7">
        <f>((W18)+(W19))+(W20)</f>
        <v>0</v>
      </c>
      <c r="X21" s="7">
        <f>((X18)+(X19))+(X20)</f>
        <v>0</v>
      </c>
      <c r="Y21" s="7">
        <f t="shared" si="18"/>
        <v>0</v>
      </c>
      <c r="Z21" s="7">
        <f>((Z18)+(Z19))+(Z20)</f>
        <v>21.78</v>
      </c>
      <c r="AA21" s="7">
        <f>((AA18)+(AA19))+(AA20)</f>
        <v>0</v>
      </c>
      <c r="AB21" s="9">
        <f t="shared" si="19"/>
        <v>-21.78</v>
      </c>
      <c r="AC21" s="7">
        <f t="shared" si="20"/>
        <v>1920.33</v>
      </c>
      <c r="AD21" s="7">
        <f t="shared" si="20"/>
        <v>2291.7399999999998</v>
      </c>
      <c r="AE21" s="7">
        <f t="shared" si="21"/>
        <v>371.40999999999985</v>
      </c>
    </row>
    <row r="22" spans="1:31" x14ac:dyDescent="0.3">
      <c r="A22" s="3" t="s">
        <v>71</v>
      </c>
      <c r="B22" s="5">
        <f>1525</f>
        <v>1525</v>
      </c>
      <c r="C22" s="4"/>
      <c r="D22" s="8">
        <f t="shared" si="11"/>
        <v>-1525</v>
      </c>
      <c r="E22" s="4"/>
      <c r="F22" s="4"/>
      <c r="G22" s="5">
        <f t="shared" si="12"/>
        <v>0</v>
      </c>
      <c r="H22" s="4"/>
      <c r="I22" s="5">
        <f>0</f>
        <v>0</v>
      </c>
      <c r="J22" s="5">
        <f t="shared" si="13"/>
        <v>0</v>
      </c>
      <c r="K22" s="4"/>
      <c r="L22" s="4"/>
      <c r="M22" s="5">
        <f t="shared" si="14"/>
        <v>0</v>
      </c>
      <c r="N22" s="4"/>
      <c r="O22" s="4"/>
      <c r="P22" s="5">
        <f t="shared" si="15"/>
        <v>0</v>
      </c>
      <c r="Q22" s="4"/>
      <c r="R22" s="4"/>
      <c r="S22" s="5">
        <f t="shared" si="16"/>
        <v>0</v>
      </c>
      <c r="T22" s="4"/>
      <c r="U22" s="4"/>
      <c r="V22" s="5">
        <f t="shared" si="17"/>
        <v>0</v>
      </c>
      <c r="W22" s="4"/>
      <c r="X22" s="4"/>
      <c r="Y22" s="5">
        <f t="shared" si="18"/>
        <v>0</v>
      </c>
      <c r="Z22" s="5">
        <f>46.64</f>
        <v>46.64</v>
      </c>
      <c r="AA22" s="4"/>
      <c r="AB22" s="8">
        <f t="shared" si="19"/>
        <v>-46.64</v>
      </c>
      <c r="AC22" s="5">
        <f t="shared" si="20"/>
        <v>1571.64</v>
      </c>
      <c r="AD22" s="5">
        <f t="shared" si="20"/>
        <v>0</v>
      </c>
      <c r="AE22" s="8">
        <f t="shared" si="21"/>
        <v>-1571.64</v>
      </c>
    </row>
    <row r="23" spans="1:31" x14ac:dyDescent="0.3">
      <c r="A23" s="3" t="s">
        <v>72</v>
      </c>
      <c r="B23" s="4"/>
      <c r="C23" s="4"/>
      <c r="D23" s="5">
        <f t="shared" si="11"/>
        <v>0</v>
      </c>
      <c r="E23" s="4"/>
      <c r="F23" s="4"/>
      <c r="G23" s="5">
        <f t="shared" si="12"/>
        <v>0</v>
      </c>
      <c r="H23" s="5">
        <f>2701.25</f>
        <v>2701.25</v>
      </c>
      <c r="I23" s="5">
        <f>4125</f>
        <v>4125</v>
      </c>
      <c r="J23" s="5">
        <f t="shared" si="13"/>
        <v>1423.75</v>
      </c>
      <c r="K23" s="4"/>
      <c r="L23" s="4"/>
      <c r="M23" s="5">
        <f t="shared" si="14"/>
        <v>0</v>
      </c>
      <c r="N23" s="4"/>
      <c r="O23" s="4"/>
      <c r="P23" s="5">
        <f t="shared" si="15"/>
        <v>0</v>
      </c>
      <c r="Q23" s="4"/>
      <c r="R23" s="4"/>
      <c r="S23" s="5">
        <f t="shared" si="16"/>
        <v>0</v>
      </c>
      <c r="T23" s="4"/>
      <c r="U23" s="4"/>
      <c r="V23" s="5">
        <f t="shared" si="17"/>
        <v>0</v>
      </c>
      <c r="W23" s="4"/>
      <c r="X23" s="4"/>
      <c r="Y23" s="5">
        <f t="shared" si="18"/>
        <v>0</v>
      </c>
      <c r="Z23" s="4"/>
      <c r="AA23" s="4"/>
      <c r="AB23" s="5">
        <f t="shared" si="19"/>
        <v>0</v>
      </c>
      <c r="AC23" s="5">
        <f t="shared" si="20"/>
        <v>2701.25</v>
      </c>
      <c r="AD23" s="5">
        <f t="shared" si="20"/>
        <v>4125</v>
      </c>
      <c r="AE23" s="5">
        <f t="shared" si="21"/>
        <v>1423.75</v>
      </c>
    </row>
    <row r="24" spans="1:31" x14ac:dyDescent="0.3">
      <c r="A24" s="3" t="s">
        <v>73</v>
      </c>
      <c r="B24" s="4"/>
      <c r="C24" s="4"/>
      <c r="D24" s="5">
        <f t="shared" si="11"/>
        <v>0</v>
      </c>
      <c r="E24" s="4"/>
      <c r="F24" s="4"/>
      <c r="G24" s="5">
        <f t="shared" si="12"/>
        <v>0</v>
      </c>
      <c r="H24" s="5">
        <f>4098.75</f>
        <v>4098.75</v>
      </c>
      <c r="I24" s="5">
        <f>3666.63</f>
        <v>3666.63</v>
      </c>
      <c r="J24" s="8">
        <f t="shared" si="13"/>
        <v>-432.11999999999989</v>
      </c>
      <c r="K24" s="4"/>
      <c r="L24" s="4"/>
      <c r="M24" s="5">
        <f t="shared" si="14"/>
        <v>0</v>
      </c>
      <c r="N24" s="4"/>
      <c r="O24" s="4"/>
      <c r="P24" s="5">
        <f t="shared" si="15"/>
        <v>0</v>
      </c>
      <c r="Q24" s="4"/>
      <c r="R24" s="4"/>
      <c r="S24" s="5">
        <f t="shared" si="16"/>
        <v>0</v>
      </c>
      <c r="T24" s="4"/>
      <c r="U24" s="4"/>
      <c r="V24" s="5">
        <f t="shared" si="17"/>
        <v>0</v>
      </c>
      <c r="W24" s="4"/>
      <c r="X24" s="4"/>
      <c r="Y24" s="5">
        <f t="shared" si="18"/>
        <v>0</v>
      </c>
      <c r="Z24" s="4"/>
      <c r="AA24" s="4"/>
      <c r="AB24" s="5">
        <f t="shared" si="19"/>
        <v>0</v>
      </c>
      <c r="AC24" s="5">
        <f t="shared" si="20"/>
        <v>4098.75</v>
      </c>
      <c r="AD24" s="5">
        <f t="shared" si="20"/>
        <v>3666.63</v>
      </c>
      <c r="AE24" s="8">
        <f t="shared" si="21"/>
        <v>-432.11999999999989</v>
      </c>
    </row>
    <row r="25" spans="1:31" x14ac:dyDescent="0.3">
      <c r="A25" s="3" t="s">
        <v>74</v>
      </c>
      <c r="B25" s="7">
        <f>((B22)+(B23))+(B24)</f>
        <v>1525</v>
      </c>
      <c r="C25" s="7">
        <f>((C22)+(C23))+(C24)</f>
        <v>0</v>
      </c>
      <c r="D25" s="9">
        <f t="shared" si="11"/>
        <v>-1525</v>
      </c>
      <c r="E25" s="7">
        <f>((E22)+(E23))+(E24)</f>
        <v>0</v>
      </c>
      <c r="F25" s="7">
        <f>((F22)+(F23))+(F24)</f>
        <v>0</v>
      </c>
      <c r="G25" s="7">
        <f t="shared" si="12"/>
        <v>0</v>
      </c>
      <c r="H25" s="7">
        <f>((H22)+(H23))+(H24)</f>
        <v>6800</v>
      </c>
      <c r="I25" s="7">
        <f>((I22)+(I23))+(I24)</f>
        <v>7791.63</v>
      </c>
      <c r="J25" s="7">
        <f t="shared" si="13"/>
        <v>991.63000000000011</v>
      </c>
      <c r="K25" s="7">
        <f>((K22)+(K23))+(K24)</f>
        <v>0</v>
      </c>
      <c r="L25" s="7">
        <f>((L22)+(L23))+(L24)</f>
        <v>0</v>
      </c>
      <c r="M25" s="7">
        <f t="shared" si="14"/>
        <v>0</v>
      </c>
      <c r="N25" s="7">
        <f>((N22)+(N23))+(N24)</f>
        <v>0</v>
      </c>
      <c r="O25" s="7">
        <f>((O22)+(O23))+(O24)</f>
        <v>0</v>
      </c>
      <c r="P25" s="7">
        <f t="shared" si="15"/>
        <v>0</v>
      </c>
      <c r="Q25" s="7">
        <f>((Q22)+(Q23))+(Q24)</f>
        <v>0</v>
      </c>
      <c r="R25" s="7">
        <f>((R22)+(R23))+(R24)</f>
        <v>0</v>
      </c>
      <c r="S25" s="7">
        <f t="shared" si="16"/>
        <v>0</v>
      </c>
      <c r="T25" s="7">
        <f>((T22)+(T23))+(T24)</f>
        <v>0</v>
      </c>
      <c r="U25" s="7">
        <f>((U22)+(U23))+(U24)</f>
        <v>0</v>
      </c>
      <c r="V25" s="7">
        <f t="shared" si="17"/>
        <v>0</v>
      </c>
      <c r="W25" s="7">
        <f>((W22)+(W23))+(W24)</f>
        <v>0</v>
      </c>
      <c r="X25" s="7">
        <f>((X22)+(X23))+(X24)</f>
        <v>0</v>
      </c>
      <c r="Y25" s="7">
        <f t="shared" si="18"/>
        <v>0</v>
      </c>
      <c r="Z25" s="7">
        <f>((Z22)+(Z23))+(Z24)</f>
        <v>46.64</v>
      </c>
      <c r="AA25" s="7">
        <f>((AA22)+(AA23))+(AA24)</f>
        <v>0</v>
      </c>
      <c r="AB25" s="9">
        <f t="shared" si="19"/>
        <v>-46.64</v>
      </c>
      <c r="AC25" s="7">
        <f t="shared" si="20"/>
        <v>8371.64</v>
      </c>
      <c r="AD25" s="7">
        <f t="shared" si="20"/>
        <v>7791.63</v>
      </c>
      <c r="AE25" s="9">
        <f t="shared" si="21"/>
        <v>-580.00999999999931</v>
      </c>
    </row>
    <row r="26" spans="1:31" x14ac:dyDescent="0.3">
      <c r="A26" s="3" t="s">
        <v>75</v>
      </c>
      <c r="B26" s="4"/>
      <c r="C26" s="4"/>
      <c r="D26" s="5">
        <f t="shared" si="11"/>
        <v>0</v>
      </c>
      <c r="E26" s="4"/>
      <c r="F26" s="4"/>
      <c r="G26" s="5">
        <f t="shared" si="12"/>
        <v>0</v>
      </c>
      <c r="H26" s="4"/>
      <c r="I26" s="4"/>
      <c r="J26" s="5">
        <f t="shared" si="13"/>
        <v>0</v>
      </c>
      <c r="K26" s="4"/>
      <c r="L26" s="4"/>
      <c r="M26" s="5">
        <f t="shared" si="14"/>
        <v>0</v>
      </c>
      <c r="N26" s="4"/>
      <c r="O26" s="4"/>
      <c r="P26" s="5">
        <f t="shared" si="15"/>
        <v>0</v>
      </c>
      <c r="Q26" s="4"/>
      <c r="R26" s="4"/>
      <c r="S26" s="5">
        <f t="shared" si="16"/>
        <v>0</v>
      </c>
      <c r="T26" s="4"/>
      <c r="U26" s="4"/>
      <c r="V26" s="5">
        <f t="shared" si="17"/>
        <v>0</v>
      </c>
      <c r="W26" s="4"/>
      <c r="X26" s="4"/>
      <c r="Y26" s="5">
        <f t="shared" si="18"/>
        <v>0</v>
      </c>
      <c r="Z26" s="4"/>
      <c r="AA26" s="4"/>
      <c r="AB26" s="5">
        <f t="shared" si="19"/>
        <v>0</v>
      </c>
      <c r="AC26" s="5">
        <f t="shared" si="20"/>
        <v>0</v>
      </c>
      <c r="AD26" s="5">
        <f t="shared" si="20"/>
        <v>0</v>
      </c>
      <c r="AE26" s="5">
        <f t="shared" si="21"/>
        <v>0</v>
      </c>
    </row>
    <row r="27" spans="1:31" x14ac:dyDescent="0.3">
      <c r="A27" s="3" t="s">
        <v>230</v>
      </c>
      <c r="B27" s="5">
        <f>16.8</f>
        <v>16.8</v>
      </c>
      <c r="C27" s="4"/>
      <c r="D27" s="8">
        <f t="shared" si="11"/>
        <v>-16.8</v>
      </c>
      <c r="E27" s="4"/>
      <c r="F27" s="4"/>
      <c r="G27" s="5">
        <f t="shared" si="12"/>
        <v>0</v>
      </c>
      <c r="H27" s="4"/>
      <c r="I27" s="4"/>
      <c r="J27" s="5">
        <f t="shared" si="13"/>
        <v>0</v>
      </c>
      <c r="K27" s="4"/>
      <c r="L27" s="4"/>
      <c r="M27" s="5">
        <f t="shared" si="14"/>
        <v>0</v>
      </c>
      <c r="N27" s="4"/>
      <c r="O27" s="4"/>
      <c r="P27" s="5">
        <f t="shared" si="15"/>
        <v>0</v>
      </c>
      <c r="Q27" s="4"/>
      <c r="R27" s="4"/>
      <c r="S27" s="5">
        <f t="shared" si="16"/>
        <v>0</v>
      </c>
      <c r="T27" s="4"/>
      <c r="U27" s="4"/>
      <c r="V27" s="5">
        <f t="shared" si="17"/>
        <v>0</v>
      </c>
      <c r="W27" s="4"/>
      <c r="X27" s="4"/>
      <c r="Y27" s="5">
        <f t="shared" si="18"/>
        <v>0</v>
      </c>
      <c r="Z27" s="4"/>
      <c r="AA27" s="4"/>
      <c r="AB27" s="5">
        <f t="shared" si="19"/>
        <v>0</v>
      </c>
      <c r="AC27" s="5">
        <f t="shared" si="20"/>
        <v>16.8</v>
      </c>
      <c r="AD27" s="5">
        <f t="shared" si="20"/>
        <v>0</v>
      </c>
      <c r="AE27" s="8">
        <f t="shared" si="21"/>
        <v>-16.8</v>
      </c>
    </row>
    <row r="28" spans="1:31" x14ac:dyDescent="0.3">
      <c r="A28" s="3" t="s">
        <v>76</v>
      </c>
      <c r="B28" s="5">
        <f>225</f>
        <v>225</v>
      </c>
      <c r="C28" s="5">
        <f>202.62</f>
        <v>202.62</v>
      </c>
      <c r="D28" s="8">
        <f t="shared" si="11"/>
        <v>-22.379999999999995</v>
      </c>
      <c r="E28" s="4"/>
      <c r="F28" s="4"/>
      <c r="G28" s="5">
        <f t="shared" si="12"/>
        <v>0</v>
      </c>
      <c r="H28" s="4"/>
      <c r="I28" s="4"/>
      <c r="J28" s="5">
        <f t="shared" si="13"/>
        <v>0</v>
      </c>
      <c r="K28" s="4"/>
      <c r="L28" s="4"/>
      <c r="M28" s="5">
        <f t="shared" si="14"/>
        <v>0</v>
      </c>
      <c r="N28" s="4"/>
      <c r="O28" s="4"/>
      <c r="P28" s="5">
        <f t="shared" si="15"/>
        <v>0</v>
      </c>
      <c r="Q28" s="4"/>
      <c r="R28" s="4"/>
      <c r="S28" s="5">
        <f t="shared" si="16"/>
        <v>0</v>
      </c>
      <c r="T28" s="4"/>
      <c r="U28" s="4"/>
      <c r="V28" s="5">
        <f t="shared" si="17"/>
        <v>0</v>
      </c>
      <c r="W28" s="4"/>
      <c r="X28" s="4"/>
      <c r="Y28" s="5">
        <f t="shared" si="18"/>
        <v>0</v>
      </c>
      <c r="Z28" s="4"/>
      <c r="AA28" s="4"/>
      <c r="AB28" s="5">
        <f t="shared" si="19"/>
        <v>0</v>
      </c>
      <c r="AC28" s="5">
        <f t="shared" si="20"/>
        <v>225</v>
      </c>
      <c r="AD28" s="5">
        <f t="shared" si="20"/>
        <v>202.62</v>
      </c>
      <c r="AE28" s="8">
        <f t="shared" si="21"/>
        <v>-22.379999999999995</v>
      </c>
    </row>
    <row r="29" spans="1:31" x14ac:dyDescent="0.3">
      <c r="A29" s="3" t="s">
        <v>77</v>
      </c>
      <c r="B29" s="5">
        <f>2844.92</f>
        <v>2844.92</v>
      </c>
      <c r="C29" s="5">
        <f>1569.37</f>
        <v>1569.37</v>
      </c>
      <c r="D29" s="8">
        <f t="shared" si="11"/>
        <v>-1275.5500000000002</v>
      </c>
      <c r="E29" s="4"/>
      <c r="F29" s="4"/>
      <c r="G29" s="5">
        <f t="shared" si="12"/>
        <v>0</v>
      </c>
      <c r="H29" s="4"/>
      <c r="I29" s="4"/>
      <c r="J29" s="5">
        <f t="shared" si="13"/>
        <v>0</v>
      </c>
      <c r="K29" s="4"/>
      <c r="L29" s="4"/>
      <c r="M29" s="5">
        <f t="shared" si="14"/>
        <v>0</v>
      </c>
      <c r="N29" s="4"/>
      <c r="O29" s="4"/>
      <c r="P29" s="5">
        <f t="shared" si="15"/>
        <v>0</v>
      </c>
      <c r="Q29" s="4"/>
      <c r="R29" s="4"/>
      <c r="S29" s="5">
        <f t="shared" si="16"/>
        <v>0</v>
      </c>
      <c r="T29" s="4"/>
      <c r="U29" s="4"/>
      <c r="V29" s="5">
        <f t="shared" si="17"/>
        <v>0</v>
      </c>
      <c r="W29" s="4"/>
      <c r="X29" s="4"/>
      <c r="Y29" s="5">
        <f t="shared" si="18"/>
        <v>0</v>
      </c>
      <c r="Z29" s="4"/>
      <c r="AA29" s="4"/>
      <c r="AB29" s="5">
        <f t="shared" si="19"/>
        <v>0</v>
      </c>
      <c r="AC29" s="5">
        <f t="shared" si="20"/>
        <v>2844.92</v>
      </c>
      <c r="AD29" s="5">
        <f t="shared" si="20"/>
        <v>1569.37</v>
      </c>
      <c r="AE29" s="8">
        <f t="shared" si="21"/>
        <v>-1275.5500000000002</v>
      </c>
    </row>
    <row r="30" spans="1:31" x14ac:dyDescent="0.3">
      <c r="A30" s="3" t="s">
        <v>78</v>
      </c>
      <c r="B30" s="5">
        <f>2432.5</f>
        <v>2432.5</v>
      </c>
      <c r="C30" s="5">
        <f>2530</f>
        <v>2530</v>
      </c>
      <c r="D30" s="5">
        <f t="shared" si="11"/>
        <v>97.5</v>
      </c>
      <c r="E30" s="4"/>
      <c r="F30" s="4"/>
      <c r="G30" s="5">
        <f t="shared" si="12"/>
        <v>0</v>
      </c>
      <c r="H30" s="4"/>
      <c r="I30" s="4"/>
      <c r="J30" s="5">
        <f t="shared" si="13"/>
        <v>0</v>
      </c>
      <c r="K30" s="4"/>
      <c r="L30" s="4"/>
      <c r="M30" s="5">
        <f t="shared" si="14"/>
        <v>0</v>
      </c>
      <c r="N30" s="4"/>
      <c r="O30" s="4"/>
      <c r="P30" s="5">
        <f t="shared" si="15"/>
        <v>0</v>
      </c>
      <c r="Q30" s="4"/>
      <c r="R30" s="4"/>
      <c r="S30" s="5">
        <f t="shared" si="16"/>
        <v>0</v>
      </c>
      <c r="T30" s="4"/>
      <c r="U30" s="4"/>
      <c r="V30" s="5">
        <f t="shared" si="17"/>
        <v>0</v>
      </c>
      <c r="W30" s="4"/>
      <c r="X30" s="4"/>
      <c r="Y30" s="5">
        <f t="shared" si="18"/>
        <v>0</v>
      </c>
      <c r="Z30" s="4"/>
      <c r="AA30" s="4"/>
      <c r="AB30" s="5">
        <f t="shared" si="19"/>
        <v>0</v>
      </c>
      <c r="AC30" s="5">
        <f t="shared" si="20"/>
        <v>2432.5</v>
      </c>
      <c r="AD30" s="5">
        <f t="shared" si="20"/>
        <v>2530</v>
      </c>
      <c r="AE30" s="5">
        <f t="shared" si="21"/>
        <v>97.5</v>
      </c>
    </row>
    <row r="31" spans="1:31" x14ac:dyDescent="0.3">
      <c r="A31" s="3" t="s">
        <v>79</v>
      </c>
      <c r="B31" s="5">
        <f>473.59</f>
        <v>473.59</v>
      </c>
      <c r="C31" s="5">
        <f>458.37</f>
        <v>458.37</v>
      </c>
      <c r="D31" s="8">
        <f t="shared" si="11"/>
        <v>-15.21999999999997</v>
      </c>
      <c r="E31" s="4"/>
      <c r="F31" s="4"/>
      <c r="G31" s="5">
        <f t="shared" si="12"/>
        <v>0</v>
      </c>
      <c r="H31" s="4"/>
      <c r="I31" s="4"/>
      <c r="J31" s="5">
        <f t="shared" si="13"/>
        <v>0</v>
      </c>
      <c r="K31" s="4"/>
      <c r="L31" s="4"/>
      <c r="M31" s="5">
        <f t="shared" si="14"/>
        <v>0</v>
      </c>
      <c r="N31" s="4"/>
      <c r="O31" s="4"/>
      <c r="P31" s="5">
        <f t="shared" si="15"/>
        <v>0</v>
      </c>
      <c r="Q31" s="4"/>
      <c r="R31" s="4"/>
      <c r="S31" s="5">
        <f t="shared" si="16"/>
        <v>0</v>
      </c>
      <c r="T31" s="4"/>
      <c r="U31" s="4"/>
      <c r="V31" s="5">
        <f t="shared" si="17"/>
        <v>0</v>
      </c>
      <c r="W31" s="4"/>
      <c r="X31" s="4"/>
      <c r="Y31" s="5">
        <f t="shared" si="18"/>
        <v>0</v>
      </c>
      <c r="Z31" s="4"/>
      <c r="AA31" s="4"/>
      <c r="AB31" s="5">
        <f t="shared" si="19"/>
        <v>0</v>
      </c>
      <c r="AC31" s="5">
        <f t="shared" si="20"/>
        <v>473.59</v>
      </c>
      <c r="AD31" s="5">
        <f t="shared" si="20"/>
        <v>458.37</v>
      </c>
      <c r="AE31" s="8">
        <f t="shared" si="21"/>
        <v>-15.21999999999997</v>
      </c>
    </row>
    <row r="32" spans="1:31" x14ac:dyDescent="0.3">
      <c r="A32" s="3" t="s">
        <v>80</v>
      </c>
      <c r="B32" s="7">
        <f>(((((B26)+(B27))+(B28))+(B29))+(B30))+(B31)</f>
        <v>5992.81</v>
      </c>
      <c r="C32" s="7">
        <f>(((((C26)+(C27))+(C28))+(C29))+(C30))+(C31)</f>
        <v>4760.3599999999997</v>
      </c>
      <c r="D32" s="9">
        <f t="shared" si="11"/>
        <v>-1232.4500000000007</v>
      </c>
      <c r="E32" s="7">
        <f>(((((E26)+(E27))+(E28))+(E29))+(E30))+(E31)</f>
        <v>0</v>
      </c>
      <c r="F32" s="7">
        <f>(((((F26)+(F27))+(F28))+(F29))+(F30))+(F31)</f>
        <v>0</v>
      </c>
      <c r="G32" s="7">
        <f t="shared" si="12"/>
        <v>0</v>
      </c>
      <c r="H32" s="7">
        <f>(((((H26)+(H27))+(H28))+(H29))+(H30))+(H31)</f>
        <v>0</v>
      </c>
      <c r="I32" s="7">
        <f>(((((I26)+(I27))+(I28))+(I29))+(I30))+(I31)</f>
        <v>0</v>
      </c>
      <c r="J32" s="7">
        <f t="shared" si="13"/>
        <v>0</v>
      </c>
      <c r="K32" s="7">
        <f>(((((K26)+(K27))+(K28))+(K29))+(K30))+(K31)</f>
        <v>0</v>
      </c>
      <c r="L32" s="7">
        <f>(((((L26)+(L27))+(L28))+(L29))+(L30))+(L31)</f>
        <v>0</v>
      </c>
      <c r="M32" s="7">
        <f t="shared" si="14"/>
        <v>0</v>
      </c>
      <c r="N32" s="7">
        <f>(((((N26)+(N27))+(N28))+(N29))+(N30))+(N31)</f>
        <v>0</v>
      </c>
      <c r="O32" s="7">
        <f>(((((O26)+(O27))+(O28))+(O29))+(O30))+(O31)</f>
        <v>0</v>
      </c>
      <c r="P32" s="7">
        <f t="shared" si="15"/>
        <v>0</v>
      </c>
      <c r="Q32" s="7">
        <f>(((((Q26)+(Q27))+(Q28))+(Q29))+(Q30))+(Q31)</f>
        <v>0</v>
      </c>
      <c r="R32" s="7">
        <f>(((((R26)+(R27))+(R28))+(R29))+(R30))+(R31)</f>
        <v>0</v>
      </c>
      <c r="S32" s="7">
        <f t="shared" si="16"/>
        <v>0</v>
      </c>
      <c r="T32" s="7">
        <f>(((((T26)+(T27))+(T28))+(T29))+(T30))+(T31)</f>
        <v>0</v>
      </c>
      <c r="U32" s="7">
        <f>(((((U26)+(U27))+(U28))+(U29))+(U30))+(U31)</f>
        <v>0</v>
      </c>
      <c r="V32" s="7">
        <f t="shared" si="17"/>
        <v>0</v>
      </c>
      <c r="W32" s="7">
        <f>(((((W26)+(W27))+(W28))+(W29))+(W30))+(W31)</f>
        <v>0</v>
      </c>
      <c r="X32" s="7">
        <f>(((((X26)+(X27))+(X28))+(X29))+(X30))+(X31)</f>
        <v>0</v>
      </c>
      <c r="Y32" s="7">
        <f t="shared" si="18"/>
        <v>0</v>
      </c>
      <c r="Z32" s="7">
        <f>(((((Z26)+(Z27))+(Z28))+(Z29))+(Z30))+(Z31)</f>
        <v>0</v>
      </c>
      <c r="AA32" s="7">
        <f>(((((AA26)+(AA27))+(AA28))+(AA29))+(AA30))+(AA31)</f>
        <v>0</v>
      </c>
      <c r="AB32" s="7">
        <f t="shared" si="19"/>
        <v>0</v>
      </c>
      <c r="AC32" s="7">
        <f t="shared" si="20"/>
        <v>5992.81</v>
      </c>
      <c r="AD32" s="7">
        <f t="shared" si="20"/>
        <v>4760.3599999999997</v>
      </c>
      <c r="AE32" s="9">
        <f t="shared" si="21"/>
        <v>-1232.4500000000007</v>
      </c>
    </row>
    <row r="33" spans="1:31" x14ac:dyDescent="0.3">
      <c r="A33" s="3" t="s">
        <v>231</v>
      </c>
      <c r="B33" s="5">
        <f>14</f>
        <v>14</v>
      </c>
      <c r="C33" s="4"/>
      <c r="D33" s="8">
        <f t="shared" si="11"/>
        <v>-14</v>
      </c>
      <c r="E33" s="4"/>
      <c r="F33" s="4"/>
      <c r="G33" s="5">
        <f t="shared" si="12"/>
        <v>0</v>
      </c>
      <c r="H33" s="4"/>
      <c r="I33" s="4"/>
      <c r="J33" s="5">
        <f t="shared" si="13"/>
        <v>0</v>
      </c>
      <c r="K33" s="4"/>
      <c r="L33" s="4"/>
      <c r="M33" s="5">
        <f t="shared" si="14"/>
        <v>0</v>
      </c>
      <c r="N33" s="4"/>
      <c r="O33" s="4"/>
      <c r="P33" s="5">
        <f t="shared" si="15"/>
        <v>0</v>
      </c>
      <c r="Q33" s="4"/>
      <c r="R33" s="4"/>
      <c r="S33" s="5">
        <f t="shared" si="16"/>
        <v>0</v>
      </c>
      <c r="T33" s="4"/>
      <c r="U33" s="4"/>
      <c r="V33" s="5">
        <f t="shared" si="17"/>
        <v>0</v>
      </c>
      <c r="W33" s="4"/>
      <c r="X33" s="4"/>
      <c r="Y33" s="5">
        <f t="shared" si="18"/>
        <v>0</v>
      </c>
      <c r="Z33" s="4"/>
      <c r="AA33" s="4"/>
      <c r="AB33" s="5">
        <f t="shared" si="19"/>
        <v>0</v>
      </c>
      <c r="AC33" s="5">
        <f t="shared" si="20"/>
        <v>14</v>
      </c>
      <c r="AD33" s="5">
        <f t="shared" si="20"/>
        <v>0</v>
      </c>
      <c r="AE33" s="8">
        <f t="shared" si="21"/>
        <v>-14</v>
      </c>
    </row>
    <row r="34" spans="1:31" x14ac:dyDescent="0.3">
      <c r="A34" s="3" t="s">
        <v>81</v>
      </c>
      <c r="B34" s="4"/>
      <c r="C34" s="4"/>
      <c r="D34" s="5">
        <f t="shared" si="11"/>
        <v>0</v>
      </c>
      <c r="E34" s="5">
        <f>14.35</f>
        <v>14.35</v>
      </c>
      <c r="F34" s="4"/>
      <c r="G34" s="8">
        <f t="shared" si="12"/>
        <v>-14.35</v>
      </c>
      <c r="H34" s="5">
        <f>54.44</f>
        <v>54.44</v>
      </c>
      <c r="I34" s="4"/>
      <c r="J34" s="8">
        <f t="shared" si="13"/>
        <v>-54.44</v>
      </c>
      <c r="K34" s="4"/>
      <c r="L34" s="4"/>
      <c r="M34" s="5">
        <f t="shared" si="14"/>
        <v>0</v>
      </c>
      <c r="N34" s="4"/>
      <c r="O34" s="4"/>
      <c r="P34" s="5">
        <f t="shared" si="15"/>
        <v>0</v>
      </c>
      <c r="Q34" s="5">
        <f>1143.25</f>
        <v>1143.25</v>
      </c>
      <c r="R34" s="4"/>
      <c r="S34" s="8">
        <f t="shared" si="16"/>
        <v>-1143.25</v>
      </c>
      <c r="T34" s="5">
        <f>54.44</f>
        <v>54.44</v>
      </c>
      <c r="U34" s="4"/>
      <c r="V34" s="8">
        <f t="shared" si="17"/>
        <v>-54.44</v>
      </c>
      <c r="W34" s="5">
        <f>4083.02</f>
        <v>4083.02</v>
      </c>
      <c r="X34" s="4"/>
      <c r="Y34" s="8">
        <f t="shared" si="18"/>
        <v>-4083.02</v>
      </c>
      <c r="Z34" s="4"/>
      <c r="AA34" s="4"/>
      <c r="AB34" s="5">
        <f t="shared" si="19"/>
        <v>0</v>
      </c>
      <c r="AC34" s="5">
        <f t="shared" si="20"/>
        <v>5349.5</v>
      </c>
      <c r="AD34" s="5">
        <f t="shared" si="20"/>
        <v>0</v>
      </c>
      <c r="AE34" s="8">
        <f t="shared" si="21"/>
        <v>-5349.5</v>
      </c>
    </row>
    <row r="35" spans="1:31" x14ac:dyDescent="0.3">
      <c r="A35" s="3" t="s">
        <v>82</v>
      </c>
      <c r="B35" s="5">
        <f>1201.36</f>
        <v>1201.3599999999999</v>
      </c>
      <c r="C35" s="5">
        <f>1206.59</f>
        <v>1206.5899999999999</v>
      </c>
      <c r="D35" s="5">
        <f t="shared" si="11"/>
        <v>5.2300000000000182</v>
      </c>
      <c r="E35" s="5">
        <f>1077.01</f>
        <v>1077.01</v>
      </c>
      <c r="F35" s="5">
        <f>1206.59</f>
        <v>1206.5899999999999</v>
      </c>
      <c r="G35" s="5">
        <f t="shared" si="12"/>
        <v>129.57999999999993</v>
      </c>
      <c r="H35" s="5">
        <f>1036.92</f>
        <v>1036.92</v>
      </c>
      <c r="I35" s="5">
        <f>1206.59</f>
        <v>1206.5899999999999</v>
      </c>
      <c r="J35" s="5">
        <f t="shared" si="13"/>
        <v>169.66999999999985</v>
      </c>
      <c r="K35" s="4"/>
      <c r="L35" s="4"/>
      <c r="M35" s="5">
        <f t="shared" si="14"/>
        <v>0</v>
      </c>
      <c r="N35" s="4"/>
      <c r="O35" s="4"/>
      <c r="P35" s="5">
        <f t="shared" si="15"/>
        <v>0</v>
      </c>
      <c r="Q35" s="5">
        <f>21775.31</f>
        <v>21775.31</v>
      </c>
      <c r="R35" s="5">
        <f>25337.62</f>
        <v>25337.62</v>
      </c>
      <c r="S35" s="5">
        <f t="shared" si="16"/>
        <v>3562.3099999999977</v>
      </c>
      <c r="T35" s="5">
        <f>1036.92</f>
        <v>1036.92</v>
      </c>
      <c r="U35" s="5">
        <f>1206.59</f>
        <v>1206.5899999999999</v>
      </c>
      <c r="V35" s="5">
        <f t="shared" si="17"/>
        <v>169.66999999999985</v>
      </c>
      <c r="W35" s="5">
        <f>77768.74</f>
        <v>77768.740000000005</v>
      </c>
      <c r="X35" s="5">
        <f>90491.39</f>
        <v>90491.39</v>
      </c>
      <c r="Y35" s="5">
        <f t="shared" si="18"/>
        <v>12722.649999999994</v>
      </c>
      <c r="Z35" s="4"/>
      <c r="AA35" s="4"/>
      <c r="AB35" s="5">
        <f t="shared" si="19"/>
        <v>0</v>
      </c>
      <c r="AC35" s="5">
        <f t="shared" si="20"/>
        <v>103896.26000000001</v>
      </c>
      <c r="AD35" s="5">
        <f t="shared" si="20"/>
        <v>120655.37</v>
      </c>
      <c r="AE35" s="5">
        <f t="shared" si="21"/>
        <v>16759.109999999986</v>
      </c>
    </row>
    <row r="36" spans="1:31" x14ac:dyDescent="0.3">
      <c r="A36" s="3" t="s">
        <v>83</v>
      </c>
      <c r="B36" s="5">
        <f>171.25</f>
        <v>171.25</v>
      </c>
      <c r="C36" s="5">
        <f>143.99</f>
        <v>143.99</v>
      </c>
      <c r="D36" s="8">
        <f t="shared" si="11"/>
        <v>-27.259999999999991</v>
      </c>
      <c r="E36" s="5">
        <f>171.25</f>
        <v>171.25</v>
      </c>
      <c r="F36" s="5">
        <f>143.99</f>
        <v>143.99</v>
      </c>
      <c r="G36" s="8">
        <f t="shared" si="12"/>
        <v>-27.259999999999991</v>
      </c>
      <c r="H36" s="5">
        <f>171.25</f>
        <v>171.25</v>
      </c>
      <c r="I36" s="5">
        <f>143.99</f>
        <v>143.99</v>
      </c>
      <c r="J36" s="8">
        <f t="shared" si="13"/>
        <v>-27.259999999999991</v>
      </c>
      <c r="K36" s="4"/>
      <c r="L36" s="4"/>
      <c r="M36" s="5">
        <f t="shared" si="14"/>
        <v>0</v>
      </c>
      <c r="N36" s="4"/>
      <c r="O36" s="4"/>
      <c r="P36" s="5">
        <f t="shared" si="15"/>
        <v>0</v>
      </c>
      <c r="Q36" s="5">
        <f>3597.04</f>
        <v>3597.04</v>
      </c>
      <c r="R36" s="5">
        <f>3024.34</f>
        <v>3024.34</v>
      </c>
      <c r="S36" s="8">
        <f t="shared" si="16"/>
        <v>-572.69999999999982</v>
      </c>
      <c r="T36" s="5">
        <f>171.25</f>
        <v>171.25</v>
      </c>
      <c r="U36" s="5">
        <f>143.99</f>
        <v>143.99</v>
      </c>
      <c r="V36" s="8">
        <f t="shared" si="17"/>
        <v>-27.259999999999991</v>
      </c>
      <c r="W36" s="5">
        <f>12846.82</f>
        <v>12846.82</v>
      </c>
      <c r="X36" s="5">
        <f>10801.34</f>
        <v>10801.34</v>
      </c>
      <c r="Y36" s="8">
        <f t="shared" si="18"/>
        <v>-2045.4799999999996</v>
      </c>
      <c r="Z36" s="4"/>
      <c r="AA36" s="4"/>
      <c r="AB36" s="5">
        <f t="shared" si="19"/>
        <v>0</v>
      </c>
      <c r="AC36" s="5">
        <f t="shared" si="20"/>
        <v>17128.86</v>
      </c>
      <c r="AD36" s="5">
        <f t="shared" si="20"/>
        <v>14401.64</v>
      </c>
      <c r="AE36" s="8">
        <f t="shared" si="21"/>
        <v>-2727.2200000000012</v>
      </c>
    </row>
    <row r="37" spans="1:31" x14ac:dyDescent="0.3">
      <c r="A37" s="3" t="s">
        <v>84</v>
      </c>
      <c r="B37" s="4"/>
      <c r="C37" s="5">
        <f>22</f>
        <v>22</v>
      </c>
      <c r="D37" s="5">
        <f t="shared" si="11"/>
        <v>22</v>
      </c>
      <c r="E37" s="4"/>
      <c r="F37" s="5">
        <f>22</f>
        <v>22</v>
      </c>
      <c r="G37" s="5">
        <f t="shared" si="12"/>
        <v>22</v>
      </c>
      <c r="H37" s="4"/>
      <c r="I37" s="5">
        <f>22</f>
        <v>22</v>
      </c>
      <c r="J37" s="5">
        <f t="shared" si="13"/>
        <v>22</v>
      </c>
      <c r="K37" s="4"/>
      <c r="L37" s="4"/>
      <c r="M37" s="5">
        <f t="shared" si="14"/>
        <v>0</v>
      </c>
      <c r="N37" s="4"/>
      <c r="O37" s="4"/>
      <c r="P37" s="5">
        <f t="shared" si="15"/>
        <v>0</v>
      </c>
      <c r="Q37" s="4"/>
      <c r="R37" s="5">
        <f>462</f>
        <v>462</v>
      </c>
      <c r="S37" s="5">
        <f t="shared" si="16"/>
        <v>462</v>
      </c>
      <c r="T37" s="4"/>
      <c r="U37" s="5">
        <f>22</f>
        <v>22</v>
      </c>
      <c r="V37" s="5">
        <f t="shared" si="17"/>
        <v>22</v>
      </c>
      <c r="W37" s="4"/>
      <c r="X37" s="5">
        <f>1650</f>
        <v>1650</v>
      </c>
      <c r="Y37" s="5">
        <f t="shared" si="18"/>
        <v>1650</v>
      </c>
      <c r="Z37" s="4"/>
      <c r="AA37" s="4"/>
      <c r="AB37" s="5">
        <f t="shared" si="19"/>
        <v>0</v>
      </c>
      <c r="AC37" s="5">
        <f t="shared" si="20"/>
        <v>0</v>
      </c>
      <c r="AD37" s="5">
        <f t="shared" si="20"/>
        <v>2200</v>
      </c>
      <c r="AE37" s="5">
        <f t="shared" si="21"/>
        <v>2200</v>
      </c>
    </row>
    <row r="38" spans="1:31" x14ac:dyDescent="0.3">
      <c r="A38" s="3" t="s">
        <v>85</v>
      </c>
      <c r="B38" s="5">
        <f>221</f>
        <v>221</v>
      </c>
      <c r="C38" s="5">
        <f>733.37</f>
        <v>733.37</v>
      </c>
      <c r="D38" s="5">
        <f t="shared" si="11"/>
        <v>512.37</v>
      </c>
      <c r="E38" s="4"/>
      <c r="F38" s="4"/>
      <c r="G38" s="5">
        <f t="shared" si="12"/>
        <v>0</v>
      </c>
      <c r="H38" s="4"/>
      <c r="I38" s="4"/>
      <c r="J38" s="5">
        <f t="shared" si="13"/>
        <v>0</v>
      </c>
      <c r="K38" s="4"/>
      <c r="L38" s="4"/>
      <c r="M38" s="5">
        <f t="shared" si="14"/>
        <v>0</v>
      </c>
      <c r="N38" s="4"/>
      <c r="O38" s="4"/>
      <c r="P38" s="5">
        <f t="shared" si="15"/>
        <v>0</v>
      </c>
      <c r="Q38" s="4"/>
      <c r="R38" s="4"/>
      <c r="S38" s="5">
        <f t="shared" si="16"/>
        <v>0</v>
      </c>
      <c r="T38" s="4"/>
      <c r="U38" s="4"/>
      <c r="V38" s="5">
        <f t="shared" si="17"/>
        <v>0</v>
      </c>
      <c r="W38" s="4"/>
      <c r="X38" s="4"/>
      <c r="Y38" s="5">
        <f t="shared" si="18"/>
        <v>0</v>
      </c>
      <c r="Z38" s="4"/>
      <c r="AA38" s="4"/>
      <c r="AB38" s="5">
        <f t="shared" si="19"/>
        <v>0</v>
      </c>
      <c r="AC38" s="5">
        <f t="shared" si="20"/>
        <v>221</v>
      </c>
      <c r="AD38" s="5">
        <f t="shared" si="20"/>
        <v>733.37</v>
      </c>
      <c r="AE38" s="5">
        <f t="shared" si="21"/>
        <v>512.37</v>
      </c>
    </row>
    <row r="39" spans="1:31" x14ac:dyDescent="0.3">
      <c r="A39" s="3" t="s">
        <v>86</v>
      </c>
      <c r="B39" s="7">
        <f>((((B34)+(B35))+(B36))+(B37))+(B38)</f>
        <v>1593.61</v>
      </c>
      <c r="C39" s="7">
        <f>((((C34)+(C35))+(C36))+(C37))+(C38)</f>
        <v>2105.9499999999998</v>
      </c>
      <c r="D39" s="7">
        <f t="shared" si="11"/>
        <v>512.33999999999992</v>
      </c>
      <c r="E39" s="7">
        <f>((((E34)+(E35))+(E36))+(E37))+(E38)</f>
        <v>1262.6099999999999</v>
      </c>
      <c r="F39" s="7">
        <f>((((F34)+(F35))+(F36))+(F37))+(F38)</f>
        <v>1372.58</v>
      </c>
      <c r="G39" s="7">
        <f t="shared" si="12"/>
        <v>109.97000000000003</v>
      </c>
      <c r="H39" s="7">
        <f>((((H34)+(H35))+(H36))+(H37))+(H38)</f>
        <v>1262.6100000000001</v>
      </c>
      <c r="I39" s="7">
        <f>((((I34)+(I35))+(I36))+(I37))+(I38)</f>
        <v>1372.58</v>
      </c>
      <c r="J39" s="7">
        <f t="shared" si="13"/>
        <v>109.9699999999998</v>
      </c>
      <c r="K39" s="7">
        <f>((((K34)+(K35))+(K36))+(K37))+(K38)</f>
        <v>0</v>
      </c>
      <c r="L39" s="7">
        <f>((((L34)+(L35))+(L36))+(L37))+(L38)</f>
        <v>0</v>
      </c>
      <c r="M39" s="7">
        <f t="shared" si="14"/>
        <v>0</v>
      </c>
      <c r="N39" s="7">
        <f>((((N34)+(N35))+(N36))+(N37))+(N38)</f>
        <v>0</v>
      </c>
      <c r="O39" s="7">
        <f>((((O34)+(O35))+(O36))+(O37))+(O38)</f>
        <v>0</v>
      </c>
      <c r="P39" s="7">
        <f t="shared" si="15"/>
        <v>0</v>
      </c>
      <c r="Q39" s="7">
        <f>((((Q34)+(Q35))+(Q36))+(Q37))+(Q38)</f>
        <v>26515.600000000002</v>
      </c>
      <c r="R39" s="7">
        <f>((((R34)+(R35))+(R36))+(R37))+(R38)</f>
        <v>28823.96</v>
      </c>
      <c r="S39" s="7">
        <f t="shared" si="16"/>
        <v>2308.3599999999969</v>
      </c>
      <c r="T39" s="7">
        <f>((((T34)+(T35))+(T36))+(T37))+(T38)</f>
        <v>1262.6100000000001</v>
      </c>
      <c r="U39" s="7">
        <f>((((U34)+(U35))+(U36))+(U37))+(U38)</f>
        <v>1372.58</v>
      </c>
      <c r="V39" s="7">
        <f t="shared" si="17"/>
        <v>109.9699999999998</v>
      </c>
      <c r="W39" s="7">
        <f>((((W34)+(W35))+(W36))+(W37))+(W38)</f>
        <v>94698.580000000016</v>
      </c>
      <c r="X39" s="7">
        <f>((((X34)+(X35))+(X36))+(X37))+(X38)</f>
        <v>102942.73</v>
      </c>
      <c r="Y39" s="7">
        <f t="shared" si="18"/>
        <v>8244.1499999999796</v>
      </c>
      <c r="Z39" s="7">
        <f>((((Z34)+(Z35))+(Z36))+(Z37))+(Z38)</f>
        <v>0</v>
      </c>
      <c r="AA39" s="7">
        <f>((((AA34)+(AA35))+(AA36))+(AA37))+(AA38)</f>
        <v>0</v>
      </c>
      <c r="AB39" s="7">
        <f t="shared" si="19"/>
        <v>0</v>
      </c>
      <c r="AC39" s="7">
        <f t="shared" si="20"/>
        <v>126595.62000000002</v>
      </c>
      <c r="AD39" s="7">
        <f t="shared" si="20"/>
        <v>137990.38</v>
      </c>
      <c r="AE39" s="7">
        <f t="shared" si="21"/>
        <v>11394.75999999998</v>
      </c>
    </row>
    <row r="40" spans="1:31" x14ac:dyDescent="0.3">
      <c r="A40" s="3" t="s">
        <v>87</v>
      </c>
      <c r="B40" s="7">
        <f>((((((B16)+(B17))+(B21))+(B25))+(B32))+(B33))+(B39)</f>
        <v>12832.970000000001</v>
      </c>
      <c r="C40" s="7">
        <f>((((((C16)+(C17))+(C21))+(C25))+(C32))+(C33))+(C39)</f>
        <v>10059.169999999998</v>
      </c>
      <c r="D40" s="9">
        <f t="shared" si="11"/>
        <v>-2773.8000000000029</v>
      </c>
      <c r="E40" s="7">
        <f>((((((E16)+(E17))+(E21))+(E25))+(E32))+(E33))+(E39)</f>
        <v>1262.6099999999999</v>
      </c>
      <c r="F40" s="7">
        <f>((((((F16)+(F17))+(F21))+(F25))+(F32))+(F33))+(F39)</f>
        <v>1372.58</v>
      </c>
      <c r="G40" s="7">
        <f t="shared" si="12"/>
        <v>109.97000000000003</v>
      </c>
      <c r="H40" s="7">
        <f>((((((H16)+(H17))+(H21))+(H25))+(H32))+(H33))+(H39)</f>
        <v>8062.6100000000006</v>
      </c>
      <c r="I40" s="7">
        <f>((((((I16)+(I17))+(I21))+(I25))+(I32))+(I33))+(I39)</f>
        <v>9164.2099999999991</v>
      </c>
      <c r="J40" s="7">
        <f t="shared" si="13"/>
        <v>1101.5999999999985</v>
      </c>
      <c r="K40" s="7">
        <f>((((((K16)+(K17))+(K21))+(K25))+(K32))+(K33))+(K39)</f>
        <v>0</v>
      </c>
      <c r="L40" s="7">
        <f>((((((L16)+(L17))+(L21))+(L25))+(L32))+(L33))+(L39)</f>
        <v>0</v>
      </c>
      <c r="M40" s="7">
        <f t="shared" si="14"/>
        <v>0</v>
      </c>
      <c r="N40" s="7">
        <f>((((((N16)+(N17))+(N21))+(N25))+(N32))+(N33))+(N39)</f>
        <v>0</v>
      </c>
      <c r="O40" s="7">
        <f>((((((O16)+(O17))+(O21))+(O25))+(O32))+(O33))+(O39)</f>
        <v>0</v>
      </c>
      <c r="P40" s="7">
        <f t="shared" si="15"/>
        <v>0</v>
      </c>
      <c r="Q40" s="7">
        <f>((((((Q16)+(Q17))+(Q21))+(Q25))+(Q32))+(Q33))+(Q39)</f>
        <v>26515.600000000002</v>
      </c>
      <c r="R40" s="7">
        <f>((((((R16)+(R17))+(R21))+(R25))+(R32))+(R33))+(R39)</f>
        <v>28823.96</v>
      </c>
      <c r="S40" s="7">
        <f t="shared" si="16"/>
        <v>2308.3599999999969</v>
      </c>
      <c r="T40" s="7">
        <f>((((((T16)+(T17))+(T21))+(T25))+(T32))+(T33))+(T39)</f>
        <v>1262.6100000000001</v>
      </c>
      <c r="U40" s="7">
        <f>((((((U16)+(U17))+(U21))+(U25))+(U32))+(U33))+(U39)</f>
        <v>1372.58</v>
      </c>
      <c r="V40" s="7">
        <f t="shared" si="17"/>
        <v>109.9699999999998</v>
      </c>
      <c r="W40" s="7">
        <f>((((((W16)+(W17))+(W21))+(W25))+(W32))+(W33))+(W39)</f>
        <v>94698.580000000016</v>
      </c>
      <c r="X40" s="7">
        <f>((((((X16)+(X17))+(X21))+(X25))+(X32))+(X33))+(X39)</f>
        <v>102942.73</v>
      </c>
      <c r="Y40" s="7">
        <f t="shared" si="18"/>
        <v>8244.1499999999796</v>
      </c>
      <c r="Z40" s="7">
        <f>((((((Z16)+(Z17))+(Z21))+(Z25))+(Z32))+(Z33))+(Z39)</f>
        <v>68.42</v>
      </c>
      <c r="AA40" s="7">
        <f>((((((AA16)+(AA17))+(AA21))+(AA25))+(AA32))+(AA33))+(AA39)</f>
        <v>0</v>
      </c>
      <c r="AB40" s="9">
        <f t="shared" si="19"/>
        <v>-68.42</v>
      </c>
      <c r="AC40" s="7">
        <f t="shared" si="20"/>
        <v>144703.40000000005</v>
      </c>
      <c r="AD40" s="7">
        <f t="shared" si="20"/>
        <v>153735.22999999998</v>
      </c>
      <c r="AE40" s="7">
        <f t="shared" si="21"/>
        <v>9031.829999999929</v>
      </c>
    </row>
    <row r="41" spans="1:31" x14ac:dyDescent="0.3">
      <c r="A41" s="3" t="s">
        <v>88</v>
      </c>
      <c r="B41" s="4"/>
      <c r="C41" s="4"/>
      <c r="D41" s="5">
        <f t="shared" si="11"/>
        <v>0</v>
      </c>
      <c r="E41" s="4"/>
      <c r="F41" s="4"/>
      <c r="G41" s="5">
        <f t="shared" si="12"/>
        <v>0</v>
      </c>
      <c r="H41" s="4"/>
      <c r="I41" s="4"/>
      <c r="J41" s="5">
        <f t="shared" si="13"/>
        <v>0</v>
      </c>
      <c r="K41" s="4"/>
      <c r="L41" s="4"/>
      <c r="M41" s="5">
        <f t="shared" si="14"/>
        <v>0</v>
      </c>
      <c r="N41" s="4"/>
      <c r="O41" s="4"/>
      <c r="P41" s="5">
        <f t="shared" si="15"/>
        <v>0</v>
      </c>
      <c r="Q41" s="4"/>
      <c r="R41" s="4"/>
      <c r="S41" s="5">
        <f t="shared" si="16"/>
        <v>0</v>
      </c>
      <c r="T41" s="4"/>
      <c r="U41" s="4"/>
      <c r="V41" s="5">
        <f t="shared" si="17"/>
        <v>0</v>
      </c>
      <c r="W41" s="4"/>
      <c r="X41" s="4"/>
      <c r="Y41" s="5">
        <f t="shared" si="18"/>
        <v>0</v>
      </c>
      <c r="Z41" s="4"/>
      <c r="AA41" s="4"/>
      <c r="AB41" s="5">
        <f t="shared" si="19"/>
        <v>0</v>
      </c>
      <c r="AC41" s="5">
        <f t="shared" si="20"/>
        <v>0</v>
      </c>
      <c r="AD41" s="5">
        <f t="shared" si="20"/>
        <v>0</v>
      </c>
      <c r="AE41" s="5">
        <f t="shared" si="21"/>
        <v>0</v>
      </c>
    </row>
    <row r="42" spans="1:31" x14ac:dyDescent="0.3">
      <c r="A42" s="3" t="s">
        <v>89</v>
      </c>
      <c r="B42" s="4"/>
      <c r="C42" s="4"/>
      <c r="D42" s="5">
        <f t="shared" si="11"/>
        <v>0</v>
      </c>
      <c r="E42" s="4"/>
      <c r="F42" s="4"/>
      <c r="G42" s="5">
        <f t="shared" si="12"/>
        <v>0</v>
      </c>
      <c r="H42" s="4"/>
      <c r="I42" s="4"/>
      <c r="J42" s="5">
        <f t="shared" si="13"/>
        <v>0</v>
      </c>
      <c r="K42" s="4"/>
      <c r="L42" s="4"/>
      <c r="M42" s="5">
        <f t="shared" si="14"/>
        <v>0</v>
      </c>
      <c r="N42" s="4"/>
      <c r="O42" s="4"/>
      <c r="P42" s="5">
        <f t="shared" si="15"/>
        <v>0</v>
      </c>
      <c r="Q42" s="5">
        <f>95437.5</f>
        <v>95437.5</v>
      </c>
      <c r="R42" s="5">
        <f>95690.87</f>
        <v>95690.87</v>
      </c>
      <c r="S42" s="5">
        <f t="shared" si="16"/>
        <v>253.36999999999534</v>
      </c>
      <c r="T42" s="4"/>
      <c r="U42" s="4"/>
      <c r="V42" s="5">
        <f t="shared" si="17"/>
        <v>0</v>
      </c>
      <c r="W42" s="4"/>
      <c r="X42" s="4"/>
      <c r="Y42" s="5">
        <f t="shared" si="18"/>
        <v>0</v>
      </c>
      <c r="Z42" s="4"/>
      <c r="AA42" s="4"/>
      <c r="AB42" s="5">
        <f t="shared" si="19"/>
        <v>0</v>
      </c>
      <c r="AC42" s="5">
        <f t="shared" si="20"/>
        <v>95437.5</v>
      </c>
      <c r="AD42" s="5">
        <f t="shared" si="20"/>
        <v>95690.87</v>
      </c>
      <c r="AE42" s="5">
        <f t="shared" si="21"/>
        <v>253.36999999999534</v>
      </c>
    </row>
    <row r="43" spans="1:31" x14ac:dyDescent="0.3">
      <c r="A43" s="3" t="s">
        <v>90</v>
      </c>
      <c r="B43" s="4"/>
      <c r="C43" s="4"/>
      <c r="D43" s="5">
        <f t="shared" si="11"/>
        <v>0</v>
      </c>
      <c r="E43" s="4"/>
      <c r="F43" s="4"/>
      <c r="G43" s="5">
        <f t="shared" si="12"/>
        <v>0</v>
      </c>
      <c r="H43" s="4"/>
      <c r="I43" s="4"/>
      <c r="J43" s="5">
        <f t="shared" si="13"/>
        <v>0</v>
      </c>
      <c r="K43" s="4"/>
      <c r="L43" s="4"/>
      <c r="M43" s="5">
        <f t="shared" si="14"/>
        <v>0</v>
      </c>
      <c r="N43" s="4"/>
      <c r="O43" s="4"/>
      <c r="P43" s="5">
        <f t="shared" si="15"/>
        <v>0</v>
      </c>
      <c r="Q43" s="4"/>
      <c r="R43" s="4"/>
      <c r="S43" s="5">
        <f t="shared" si="16"/>
        <v>0</v>
      </c>
      <c r="T43" s="4"/>
      <c r="U43" s="4"/>
      <c r="V43" s="5">
        <f t="shared" si="17"/>
        <v>0</v>
      </c>
      <c r="W43" s="5">
        <f>266495</f>
        <v>266495</v>
      </c>
      <c r="X43" s="5">
        <f>291500</f>
        <v>291500</v>
      </c>
      <c r="Y43" s="5">
        <f t="shared" si="18"/>
        <v>25005</v>
      </c>
      <c r="Z43" s="4"/>
      <c r="AA43" s="4"/>
      <c r="AB43" s="5">
        <f t="shared" si="19"/>
        <v>0</v>
      </c>
      <c r="AC43" s="5">
        <f t="shared" si="20"/>
        <v>266495</v>
      </c>
      <c r="AD43" s="5">
        <f t="shared" si="20"/>
        <v>291500</v>
      </c>
      <c r="AE43" s="5">
        <f t="shared" si="21"/>
        <v>25005</v>
      </c>
    </row>
    <row r="44" spans="1:31" x14ac:dyDescent="0.3">
      <c r="A44" s="3" t="s">
        <v>91</v>
      </c>
      <c r="B44" s="7">
        <f>((B41)+(B42))+(B43)</f>
        <v>0</v>
      </c>
      <c r="C44" s="7">
        <f>((C41)+(C42))+(C43)</f>
        <v>0</v>
      </c>
      <c r="D44" s="7">
        <f t="shared" si="11"/>
        <v>0</v>
      </c>
      <c r="E44" s="7">
        <f>((E41)+(E42))+(E43)</f>
        <v>0</v>
      </c>
      <c r="F44" s="7">
        <f>((F41)+(F42))+(F43)</f>
        <v>0</v>
      </c>
      <c r="G44" s="7">
        <f t="shared" si="12"/>
        <v>0</v>
      </c>
      <c r="H44" s="7">
        <f>((H41)+(H42))+(H43)</f>
        <v>0</v>
      </c>
      <c r="I44" s="7">
        <f>((I41)+(I42))+(I43)</f>
        <v>0</v>
      </c>
      <c r="J44" s="7">
        <f t="shared" si="13"/>
        <v>0</v>
      </c>
      <c r="K44" s="7">
        <f>((K41)+(K42))+(K43)</f>
        <v>0</v>
      </c>
      <c r="L44" s="7">
        <f>((L41)+(L42))+(L43)</f>
        <v>0</v>
      </c>
      <c r="M44" s="7">
        <f t="shared" si="14"/>
        <v>0</v>
      </c>
      <c r="N44" s="7">
        <f>((N41)+(N42))+(N43)</f>
        <v>0</v>
      </c>
      <c r="O44" s="7">
        <f>((O41)+(O42))+(O43)</f>
        <v>0</v>
      </c>
      <c r="P44" s="7">
        <f t="shared" si="15"/>
        <v>0</v>
      </c>
      <c r="Q44" s="7">
        <f>((Q41)+(Q42))+(Q43)</f>
        <v>95437.5</v>
      </c>
      <c r="R44" s="7">
        <f>((R41)+(R42))+(R43)</f>
        <v>95690.87</v>
      </c>
      <c r="S44" s="7">
        <f t="shared" si="16"/>
        <v>253.36999999999534</v>
      </c>
      <c r="T44" s="7">
        <f>((T41)+(T42))+(T43)</f>
        <v>0</v>
      </c>
      <c r="U44" s="7">
        <f>((U41)+(U42))+(U43)</f>
        <v>0</v>
      </c>
      <c r="V44" s="7">
        <f t="shared" si="17"/>
        <v>0</v>
      </c>
      <c r="W44" s="7">
        <f>((W41)+(W42))+(W43)</f>
        <v>266495</v>
      </c>
      <c r="X44" s="7">
        <f>((X41)+(X42))+(X43)</f>
        <v>291500</v>
      </c>
      <c r="Y44" s="7">
        <f t="shared" si="18"/>
        <v>25005</v>
      </c>
      <c r="Z44" s="7">
        <f>((Z41)+(Z42))+(Z43)</f>
        <v>0</v>
      </c>
      <c r="AA44" s="7">
        <f>((AA41)+(AA42))+(AA43)</f>
        <v>0</v>
      </c>
      <c r="AB44" s="7">
        <f t="shared" si="19"/>
        <v>0</v>
      </c>
      <c r="AC44" s="7">
        <f t="shared" si="20"/>
        <v>361932.5</v>
      </c>
      <c r="AD44" s="7">
        <f t="shared" si="20"/>
        <v>387190.87</v>
      </c>
      <c r="AE44" s="7">
        <f t="shared" si="21"/>
        <v>25258.369999999995</v>
      </c>
    </row>
    <row r="45" spans="1:31" x14ac:dyDescent="0.3">
      <c r="A45" s="3" t="s">
        <v>92</v>
      </c>
      <c r="B45" s="4"/>
      <c r="C45" s="4"/>
      <c r="D45" s="5">
        <f t="shared" si="11"/>
        <v>0</v>
      </c>
      <c r="E45" s="4"/>
      <c r="F45" s="4"/>
      <c r="G45" s="5">
        <f t="shared" si="12"/>
        <v>0</v>
      </c>
      <c r="H45" s="4"/>
      <c r="I45" s="4"/>
      <c r="J45" s="5">
        <f t="shared" si="13"/>
        <v>0</v>
      </c>
      <c r="K45" s="4"/>
      <c r="L45" s="4"/>
      <c r="M45" s="5">
        <f t="shared" si="14"/>
        <v>0</v>
      </c>
      <c r="N45" s="4"/>
      <c r="O45" s="5">
        <f>11458.37</f>
        <v>11458.37</v>
      </c>
      <c r="P45" s="5">
        <f t="shared" si="15"/>
        <v>11458.37</v>
      </c>
      <c r="Q45" s="4"/>
      <c r="R45" s="4"/>
      <c r="S45" s="5">
        <f t="shared" si="16"/>
        <v>0</v>
      </c>
      <c r="T45" s="4"/>
      <c r="U45" s="4"/>
      <c r="V45" s="5">
        <f t="shared" si="17"/>
        <v>0</v>
      </c>
      <c r="W45" s="4"/>
      <c r="X45" s="4"/>
      <c r="Y45" s="5">
        <f t="shared" si="18"/>
        <v>0</v>
      </c>
      <c r="Z45" s="4"/>
      <c r="AA45" s="4"/>
      <c r="AB45" s="5">
        <f t="shared" si="19"/>
        <v>0</v>
      </c>
      <c r="AC45" s="5">
        <f t="shared" si="20"/>
        <v>0</v>
      </c>
      <c r="AD45" s="5">
        <f t="shared" si="20"/>
        <v>11458.37</v>
      </c>
      <c r="AE45" s="5">
        <f t="shared" si="21"/>
        <v>11458.37</v>
      </c>
    </row>
    <row r="46" spans="1:31" x14ac:dyDescent="0.3">
      <c r="A46" s="3" t="s">
        <v>93</v>
      </c>
      <c r="B46" s="4"/>
      <c r="C46" s="4"/>
      <c r="D46" s="5">
        <f t="shared" si="11"/>
        <v>0</v>
      </c>
      <c r="E46" s="4"/>
      <c r="F46" s="5">
        <f>34375</f>
        <v>34375</v>
      </c>
      <c r="G46" s="5">
        <f t="shared" si="12"/>
        <v>34375</v>
      </c>
      <c r="H46" s="4"/>
      <c r="I46" s="4"/>
      <c r="J46" s="5">
        <f t="shared" si="13"/>
        <v>0</v>
      </c>
      <c r="K46" s="4"/>
      <c r="L46" s="4"/>
      <c r="M46" s="5">
        <f t="shared" si="14"/>
        <v>0</v>
      </c>
      <c r="N46" s="4"/>
      <c r="O46" s="4"/>
      <c r="P46" s="5">
        <f t="shared" si="15"/>
        <v>0</v>
      </c>
      <c r="Q46" s="4"/>
      <c r="R46" s="4"/>
      <c r="S46" s="5">
        <f t="shared" si="16"/>
        <v>0</v>
      </c>
      <c r="T46" s="4"/>
      <c r="U46" s="4"/>
      <c r="V46" s="5">
        <f t="shared" si="17"/>
        <v>0</v>
      </c>
      <c r="W46" s="4"/>
      <c r="X46" s="4"/>
      <c r="Y46" s="5">
        <f t="shared" si="18"/>
        <v>0</v>
      </c>
      <c r="Z46" s="4"/>
      <c r="AA46" s="4"/>
      <c r="AB46" s="5">
        <f t="shared" si="19"/>
        <v>0</v>
      </c>
      <c r="AC46" s="5">
        <f t="shared" si="20"/>
        <v>0</v>
      </c>
      <c r="AD46" s="5">
        <f t="shared" si="20"/>
        <v>34375</v>
      </c>
      <c r="AE46" s="5">
        <f t="shared" si="21"/>
        <v>34375</v>
      </c>
    </row>
    <row r="47" spans="1:31" x14ac:dyDescent="0.3">
      <c r="A47" s="3" t="s">
        <v>94</v>
      </c>
      <c r="B47" s="7">
        <f>(B45)+(B46)</f>
        <v>0</v>
      </c>
      <c r="C47" s="7">
        <f>(C45)+(C46)</f>
        <v>0</v>
      </c>
      <c r="D47" s="7">
        <f t="shared" si="11"/>
        <v>0</v>
      </c>
      <c r="E47" s="7">
        <f>(E45)+(E46)</f>
        <v>0</v>
      </c>
      <c r="F47" s="7">
        <f>(F45)+(F46)</f>
        <v>34375</v>
      </c>
      <c r="G47" s="7">
        <f t="shared" si="12"/>
        <v>34375</v>
      </c>
      <c r="H47" s="7">
        <f>(H45)+(H46)</f>
        <v>0</v>
      </c>
      <c r="I47" s="7">
        <f>(I45)+(I46)</f>
        <v>0</v>
      </c>
      <c r="J47" s="7">
        <f t="shared" si="13"/>
        <v>0</v>
      </c>
      <c r="K47" s="7">
        <f>(K45)+(K46)</f>
        <v>0</v>
      </c>
      <c r="L47" s="7">
        <f>(L45)+(L46)</f>
        <v>0</v>
      </c>
      <c r="M47" s="7">
        <f t="shared" si="14"/>
        <v>0</v>
      </c>
      <c r="N47" s="7">
        <f>(N45)+(N46)</f>
        <v>0</v>
      </c>
      <c r="O47" s="7">
        <f>(O45)+(O46)</f>
        <v>11458.37</v>
      </c>
      <c r="P47" s="7">
        <f t="shared" si="15"/>
        <v>11458.37</v>
      </c>
      <c r="Q47" s="7">
        <f>(Q45)+(Q46)</f>
        <v>0</v>
      </c>
      <c r="R47" s="7">
        <f>(R45)+(R46)</f>
        <v>0</v>
      </c>
      <c r="S47" s="7">
        <f t="shared" si="16"/>
        <v>0</v>
      </c>
      <c r="T47" s="7">
        <f>(T45)+(T46)</f>
        <v>0</v>
      </c>
      <c r="U47" s="7">
        <f>(U45)+(U46)</f>
        <v>0</v>
      </c>
      <c r="V47" s="7">
        <f t="shared" si="17"/>
        <v>0</v>
      </c>
      <c r="W47" s="7">
        <f>(W45)+(W46)</f>
        <v>0</v>
      </c>
      <c r="X47" s="7">
        <f>(X45)+(X46)</f>
        <v>0</v>
      </c>
      <c r="Y47" s="7">
        <f t="shared" si="18"/>
        <v>0</v>
      </c>
      <c r="Z47" s="7">
        <f>(Z45)+(Z46)</f>
        <v>0</v>
      </c>
      <c r="AA47" s="7">
        <f>(AA45)+(AA46)</f>
        <v>0</v>
      </c>
      <c r="AB47" s="7">
        <f t="shared" si="19"/>
        <v>0</v>
      </c>
      <c r="AC47" s="7">
        <f t="shared" si="20"/>
        <v>0</v>
      </c>
      <c r="AD47" s="7">
        <f t="shared" si="20"/>
        <v>45833.37</v>
      </c>
      <c r="AE47" s="7">
        <f t="shared" si="21"/>
        <v>45833.37</v>
      </c>
    </row>
    <row r="48" spans="1:31" x14ac:dyDescent="0.3">
      <c r="A48" s="3" t="s">
        <v>95</v>
      </c>
      <c r="B48" s="4"/>
      <c r="C48" s="4"/>
      <c r="D48" s="5">
        <f t="shared" si="11"/>
        <v>0</v>
      </c>
      <c r="E48" s="4"/>
      <c r="F48" s="4"/>
      <c r="G48" s="5">
        <f t="shared" si="12"/>
        <v>0</v>
      </c>
      <c r="H48" s="4"/>
      <c r="I48" s="4"/>
      <c r="J48" s="5">
        <f t="shared" si="13"/>
        <v>0</v>
      </c>
      <c r="K48" s="4"/>
      <c r="L48" s="4"/>
      <c r="M48" s="5">
        <f t="shared" si="14"/>
        <v>0</v>
      </c>
      <c r="N48" s="4"/>
      <c r="O48" s="4"/>
      <c r="P48" s="5">
        <f t="shared" si="15"/>
        <v>0</v>
      </c>
      <c r="Q48" s="4"/>
      <c r="R48" s="4"/>
      <c r="S48" s="5">
        <f t="shared" si="16"/>
        <v>0</v>
      </c>
      <c r="T48" s="5">
        <f>21.04</f>
        <v>21.04</v>
      </c>
      <c r="U48" s="4"/>
      <c r="V48" s="8">
        <f t="shared" si="17"/>
        <v>-21.04</v>
      </c>
      <c r="W48" s="4"/>
      <c r="X48" s="4"/>
      <c r="Y48" s="5">
        <f t="shared" si="18"/>
        <v>0</v>
      </c>
      <c r="Z48" s="4"/>
      <c r="AA48" s="4"/>
      <c r="AB48" s="5">
        <f t="shared" si="19"/>
        <v>0</v>
      </c>
      <c r="AC48" s="5">
        <f t="shared" ref="AC48:AD65" si="22">((((((((B48)+(E48))+(H48))+(K48))+(N48))+(Q48))+(T48))+(W48))+(Z48)</f>
        <v>21.04</v>
      </c>
      <c r="AD48" s="5">
        <f t="shared" si="22"/>
        <v>0</v>
      </c>
      <c r="AE48" s="8">
        <f t="shared" si="21"/>
        <v>-21.04</v>
      </c>
    </row>
    <row r="49" spans="1:31" x14ac:dyDescent="0.3">
      <c r="A49" s="3" t="s">
        <v>96</v>
      </c>
      <c r="B49" s="4"/>
      <c r="C49" s="4"/>
      <c r="D49" s="5">
        <f t="shared" si="11"/>
        <v>0</v>
      </c>
      <c r="E49" s="4"/>
      <c r="F49" s="4"/>
      <c r="G49" s="5">
        <f t="shared" si="12"/>
        <v>0</v>
      </c>
      <c r="H49" s="4"/>
      <c r="I49" s="4"/>
      <c r="J49" s="5">
        <f t="shared" si="13"/>
        <v>0</v>
      </c>
      <c r="K49" s="4"/>
      <c r="L49" s="4"/>
      <c r="M49" s="5">
        <f t="shared" si="14"/>
        <v>0</v>
      </c>
      <c r="N49" s="4"/>
      <c r="O49" s="4"/>
      <c r="P49" s="5">
        <f t="shared" si="15"/>
        <v>0</v>
      </c>
      <c r="Q49" s="4"/>
      <c r="R49" s="4"/>
      <c r="S49" s="5">
        <f t="shared" si="16"/>
        <v>0</v>
      </c>
      <c r="T49" s="4"/>
      <c r="U49" s="4"/>
      <c r="V49" s="5">
        <f t="shared" si="17"/>
        <v>0</v>
      </c>
      <c r="W49" s="4"/>
      <c r="X49" s="4"/>
      <c r="Y49" s="5">
        <f t="shared" si="18"/>
        <v>0</v>
      </c>
      <c r="Z49" s="4"/>
      <c r="AA49" s="4"/>
      <c r="AB49" s="5">
        <f t="shared" si="19"/>
        <v>0</v>
      </c>
      <c r="AC49" s="5">
        <f t="shared" si="22"/>
        <v>0</v>
      </c>
      <c r="AD49" s="5">
        <f t="shared" si="22"/>
        <v>0</v>
      </c>
      <c r="AE49" s="5">
        <f t="shared" si="21"/>
        <v>0</v>
      </c>
    </row>
    <row r="50" spans="1:31" x14ac:dyDescent="0.3">
      <c r="A50" s="3" t="s">
        <v>97</v>
      </c>
      <c r="B50" s="5">
        <f>560.3</f>
        <v>560.29999999999995</v>
      </c>
      <c r="C50" s="5">
        <f>183.37</f>
        <v>183.37</v>
      </c>
      <c r="D50" s="8">
        <f t="shared" si="11"/>
        <v>-376.92999999999995</v>
      </c>
      <c r="E50" s="4"/>
      <c r="F50" s="4"/>
      <c r="G50" s="5">
        <f t="shared" si="12"/>
        <v>0</v>
      </c>
      <c r="H50" s="4"/>
      <c r="I50" s="4"/>
      <c r="J50" s="5">
        <f t="shared" si="13"/>
        <v>0</v>
      </c>
      <c r="K50" s="4"/>
      <c r="L50" s="4"/>
      <c r="M50" s="5">
        <f t="shared" si="14"/>
        <v>0</v>
      </c>
      <c r="N50" s="4"/>
      <c r="O50" s="4"/>
      <c r="P50" s="5">
        <f t="shared" si="15"/>
        <v>0</v>
      </c>
      <c r="Q50" s="4"/>
      <c r="R50" s="4"/>
      <c r="S50" s="5">
        <f t="shared" si="16"/>
        <v>0</v>
      </c>
      <c r="T50" s="4"/>
      <c r="U50" s="4"/>
      <c r="V50" s="5">
        <f t="shared" si="17"/>
        <v>0</v>
      </c>
      <c r="W50" s="4"/>
      <c r="X50" s="4"/>
      <c r="Y50" s="5">
        <f t="shared" si="18"/>
        <v>0</v>
      </c>
      <c r="Z50" s="4"/>
      <c r="AA50" s="4"/>
      <c r="AB50" s="5">
        <f t="shared" si="19"/>
        <v>0</v>
      </c>
      <c r="AC50" s="5">
        <f t="shared" si="22"/>
        <v>560.29999999999995</v>
      </c>
      <c r="AD50" s="5">
        <f t="shared" si="22"/>
        <v>183.37</v>
      </c>
      <c r="AE50" s="8">
        <f t="shared" si="21"/>
        <v>-376.92999999999995</v>
      </c>
    </row>
    <row r="51" spans="1:31" x14ac:dyDescent="0.3">
      <c r="A51" s="3" t="s">
        <v>98</v>
      </c>
      <c r="B51" s="7">
        <f>(B49)+(B50)</f>
        <v>560.29999999999995</v>
      </c>
      <c r="C51" s="7">
        <f>(C49)+(C50)</f>
        <v>183.37</v>
      </c>
      <c r="D51" s="9">
        <f t="shared" si="11"/>
        <v>-376.92999999999995</v>
      </c>
      <c r="E51" s="7">
        <f>(E49)+(E50)</f>
        <v>0</v>
      </c>
      <c r="F51" s="7">
        <f>(F49)+(F50)</f>
        <v>0</v>
      </c>
      <c r="G51" s="7">
        <f t="shared" si="12"/>
        <v>0</v>
      </c>
      <c r="H51" s="7">
        <f>(H49)+(H50)</f>
        <v>0</v>
      </c>
      <c r="I51" s="7">
        <f>(I49)+(I50)</f>
        <v>0</v>
      </c>
      <c r="J51" s="7">
        <f t="shared" si="13"/>
        <v>0</v>
      </c>
      <c r="K51" s="7">
        <f>(K49)+(K50)</f>
        <v>0</v>
      </c>
      <c r="L51" s="7">
        <f>(L49)+(L50)</f>
        <v>0</v>
      </c>
      <c r="M51" s="7">
        <f t="shared" si="14"/>
        <v>0</v>
      </c>
      <c r="N51" s="7">
        <f>(N49)+(N50)</f>
        <v>0</v>
      </c>
      <c r="O51" s="7">
        <f>(O49)+(O50)</f>
        <v>0</v>
      </c>
      <c r="P51" s="7">
        <f t="shared" si="15"/>
        <v>0</v>
      </c>
      <c r="Q51" s="7">
        <f>(Q49)+(Q50)</f>
        <v>0</v>
      </c>
      <c r="R51" s="7">
        <f>(R49)+(R50)</f>
        <v>0</v>
      </c>
      <c r="S51" s="7">
        <f t="shared" si="16"/>
        <v>0</v>
      </c>
      <c r="T51" s="7">
        <f>(T49)+(T50)</f>
        <v>0</v>
      </c>
      <c r="U51" s="7">
        <f>(U49)+(U50)</f>
        <v>0</v>
      </c>
      <c r="V51" s="7">
        <f t="shared" si="17"/>
        <v>0</v>
      </c>
      <c r="W51" s="7">
        <f>(W49)+(W50)</f>
        <v>0</v>
      </c>
      <c r="X51" s="7">
        <f>(X49)+(X50)</f>
        <v>0</v>
      </c>
      <c r="Y51" s="7">
        <f t="shared" si="18"/>
        <v>0</v>
      </c>
      <c r="Z51" s="7">
        <f>(Z49)+(Z50)</f>
        <v>0</v>
      </c>
      <c r="AA51" s="7">
        <f>(AA49)+(AA50)</f>
        <v>0</v>
      </c>
      <c r="AB51" s="7">
        <f t="shared" si="19"/>
        <v>0</v>
      </c>
      <c r="AC51" s="7">
        <f t="shared" si="22"/>
        <v>560.29999999999995</v>
      </c>
      <c r="AD51" s="7">
        <f t="shared" si="22"/>
        <v>183.37</v>
      </c>
      <c r="AE51" s="9">
        <f t="shared" si="21"/>
        <v>-376.92999999999995</v>
      </c>
    </row>
    <row r="52" spans="1:31" x14ac:dyDescent="0.3">
      <c r="A52" s="3" t="s">
        <v>99</v>
      </c>
      <c r="B52" s="4"/>
      <c r="C52" s="5">
        <f>229.13</f>
        <v>229.13</v>
      </c>
      <c r="D52" s="5">
        <f t="shared" si="11"/>
        <v>229.13</v>
      </c>
      <c r="E52" s="4"/>
      <c r="F52" s="4"/>
      <c r="G52" s="5">
        <f t="shared" si="12"/>
        <v>0</v>
      </c>
      <c r="H52" s="4"/>
      <c r="I52" s="4"/>
      <c r="J52" s="5">
        <f t="shared" si="13"/>
        <v>0</v>
      </c>
      <c r="K52" s="4"/>
      <c r="L52" s="4"/>
      <c r="M52" s="5">
        <f t="shared" si="14"/>
        <v>0</v>
      </c>
      <c r="N52" s="4"/>
      <c r="O52" s="4"/>
      <c r="P52" s="5">
        <f t="shared" si="15"/>
        <v>0</v>
      </c>
      <c r="Q52" s="4"/>
      <c r="R52" s="4"/>
      <c r="S52" s="5">
        <f t="shared" si="16"/>
        <v>0</v>
      </c>
      <c r="T52" s="4"/>
      <c r="U52" s="4"/>
      <c r="V52" s="5">
        <f t="shared" si="17"/>
        <v>0</v>
      </c>
      <c r="W52" s="4"/>
      <c r="X52" s="4"/>
      <c r="Y52" s="5">
        <f t="shared" si="18"/>
        <v>0</v>
      </c>
      <c r="Z52" s="4"/>
      <c r="AA52" s="4"/>
      <c r="AB52" s="5">
        <f t="shared" si="19"/>
        <v>0</v>
      </c>
      <c r="AC52" s="5">
        <f t="shared" si="22"/>
        <v>0</v>
      </c>
      <c r="AD52" s="5">
        <f t="shared" si="22"/>
        <v>229.13</v>
      </c>
      <c r="AE52" s="5">
        <f t="shared" si="21"/>
        <v>229.13</v>
      </c>
    </row>
    <row r="53" spans="1:31" x14ac:dyDescent="0.3">
      <c r="A53" s="3" t="s">
        <v>100</v>
      </c>
      <c r="B53" s="4"/>
      <c r="C53" s="4"/>
      <c r="D53" s="5">
        <f t="shared" si="11"/>
        <v>0</v>
      </c>
      <c r="E53" s="4"/>
      <c r="F53" s="4"/>
      <c r="G53" s="5">
        <f t="shared" si="12"/>
        <v>0</v>
      </c>
      <c r="H53" s="4"/>
      <c r="I53" s="4"/>
      <c r="J53" s="5">
        <f t="shared" si="13"/>
        <v>0</v>
      </c>
      <c r="K53" s="4"/>
      <c r="L53" s="4"/>
      <c r="M53" s="5">
        <f t="shared" si="14"/>
        <v>0</v>
      </c>
      <c r="N53" s="4"/>
      <c r="O53" s="4"/>
      <c r="P53" s="5">
        <f t="shared" si="15"/>
        <v>0</v>
      </c>
      <c r="Q53" s="4"/>
      <c r="R53" s="4"/>
      <c r="S53" s="5">
        <f t="shared" si="16"/>
        <v>0</v>
      </c>
      <c r="T53" s="4"/>
      <c r="U53" s="5">
        <f>2291.63</f>
        <v>2291.63</v>
      </c>
      <c r="V53" s="5">
        <f t="shared" si="17"/>
        <v>2291.63</v>
      </c>
      <c r="W53" s="4"/>
      <c r="X53" s="4"/>
      <c r="Y53" s="5">
        <f t="shared" si="18"/>
        <v>0</v>
      </c>
      <c r="Z53" s="4"/>
      <c r="AA53" s="4"/>
      <c r="AB53" s="5">
        <f t="shared" si="19"/>
        <v>0</v>
      </c>
      <c r="AC53" s="5">
        <f t="shared" si="22"/>
        <v>0</v>
      </c>
      <c r="AD53" s="5">
        <f t="shared" si="22"/>
        <v>2291.63</v>
      </c>
      <c r="AE53" s="5">
        <f t="shared" si="21"/>
        <v>2291.63</v>
      </c>
    </row>
    <row r="54" spans="1:31" x14ac:dyDescent="0.3">
      <c r="A54" s="3" t="s">
        <v>101</v>
      </c>
      <c r="B54" s="4"/>
      <c r="C54" s="4"/>
      <c r="D54" s="5">
        <f t="shared" si="11"/>
        <v>0</v>
      </c>
      <c r="E54" s="4"/>
      <c r="F54" s="4"/>
      <c r="G54" s="5">
        <f t="shared" si="12"/>
        <v>0</v>
      </c>
      <c r="H54" s="4"/>
      <c r="I54" s="4"/>
      <c r="J54" s="5">
        <f t="shared" si="13"/>
        <v>0</v>
      </c>
      <c r="K54" s="4"/>
      <c r="L54" s="4"/>
      <c r="M54" s="5">
        <f t="shared" si="14"/>
        <v>0</v>
      </c>
      <c r="N54" s="4"/>
      <c r="O54" s="4"/>
      <c r="P54" s="5">
        <f t="shared" si="15"/>
        <v>0</v>
      </c>
      <c r="Q54" s="4"/>
      <c r="R54" s="4"/>
      <c r="S54" s="5">
        <f t="shared" si="16"/>
        <v>0</v>
      </c>
      <c r="T54" s="5">
        <f>1133.71</f>
        <v>1133.71</v>
      </c>
      <c r="U54" s="5">
        <f>916.63</f>
        <v>916.63</v>
      </c>
      <c r="V54" s="8">
        <f t="shared" si="17"/>
        <v>-217.08000000000004</v>
      </c>
      <c r="W54" s="4"/>
      <c r="X54" s="4"/>
      <c r="Y54" s="5">
        <f t="shared" si="18"/>
        <v>0</v>
      </c>
      <c r="Z54" s="4"/>
      <c r="AA54" s="4"/>
      <c r="AB54" s="5">
        <f t="shared" si="19"/>
        <v>0</v>
      </c>
      <c r="AC54" s="5">
        <f t="shared" si="22"/>
        <v>1133.71</v>
      </c>
      <c r="AD54" s="5">
        <f t="shared" si="22"/>
        <v>916.63</v>
      </c>
      <c r="AE54" s="8">
        <f t="shared" si="21"/>
        <v>-217.08000000000004</v>
      </c>
    </row>
    <row r="55" spans="1:31" x14ac:dyDescent="0.3">
      <c r="A55" s="3" t="s">
        <v>102</v>
      </c>
      <c r="B55" s="4"/>
      <c r="C55" s="4"/>
      <c r="D55" s="5">
        <f t="shared" si="11"/>
        <v>0</v>
      </c>
      <c r="E55" s="4"/>
      <c r="F55" s="4"/>
      <c r="G55" s="5">
        <f t="shared" si="12"/>
        <v>0</v>
      </c>
      <c r="H55" s="4"/>
      <c r="I55" s="4"/>
      <c r="J55" s="5">
        <f t="shared" si="13"/>
        <v>0</v>
      </c>
      <c r="K55" s="4"/>
      <c r="L55" s="4"/>
      <c r="M55" s="5">
        <f t="shared" si="14"/>
        <v>0</v>
      </c>
      <c r="N55" s="4"/>
      <c r="O55" s="4"/>
      <c r="P55" s="5">
        <f t="shared" si="15"/>
        <v>0</v>
      </c>
      <c r="Q55" s="4"/>
      <c r="R55" s="4"/>
      <c r="S55" s="5">
        <f t="shared" si="16"/>
        <v>0</v>
      </c>
      <c r="T55" s="4"/>
      <c r="U55" s="4"/>
      <c r="V55" s="5">
        <f t="shared" si="17"/>
        <v>0</v>
      </c>
      <c r="W55" s="4"/>
      <c r="X55" s="4"/>
      <c r="Y55" s="5">
        <f t="shared" si="18"/>
        <v>0</v>
      </c>
      <c r="Z55" s="4"/>
      <c r="AA55" s="4"/>
      <c r="AB55" s="5">
        <f t="shared" si="19"/>
        <v>0</v>
      </c>
      <c r="AC55" s="5">
        <f t="shared" si="22"/>
        <v>0</v>
      </c>
      <c r="AD55" s="5">
        <f t="shared" si="22"/>
        <v>0</v>
      </c>
      <c r="AE55" s="5">
        <f t="shared" si="21"/>
        <v>0</v>
      </c>
    </row>
    <row r="56" spans="1:31" x14ac:dyDescent="0.3">
      <c r="A56" s="3" t="s">
        <v>103</v>
      </c>
      <c r="B56" s="4"/>
      <c r="C56" s="4"/>
      <c r="D56" s="5">
        <f t="shared" si="11"/>
        <v>0</v>
      </c>
      <c r="E56" s="4"/>
      <c r="F56" s="4"/>
      <c r="G56" s="5">
        <f t="shared" si="12"/>
        <v>0</v>
      </c>
      <c r="H56" s="4"/>
      <c r="I56" s="4"/>
      <c r="J56" s="5">
        <f t="shared" si="13"/>
        <v>0</v>
      </c>
      <c r="K56" s="4"/>
      <c r="L56" s="4"/>
      <c r="M56" s="5">
        <f t="shared" si="14"/>
        <v>0</v>
      </c>
      <c r="N56" s="4"/>
      <c r="O56" s="4"/>
      <c r="P56" s="5">
        <f t="shared" si="15"/>
        <v>0</v>
      </c>
      <c r="Q56" s="4"/>
      <c r="R56" s="4"/>
      <c r="S56" s="5">
        <f t="shared" si="16"/>
        <v>0</v>
      </c>
      <c r="T56" s="5">
        <f>1134</f>
        <v>1134</v>
      </c>
      <c r="U56" s="5">
        <f>825</f>
        <v>825</v>
      </c>
      <c r="V56" s="8">
        <f t="shared" si="17"/>
        <v>-309</v>
      </c>
      <c r="W56" s="4"/>
      <c r="X56" s="4"/>
      <c r="Y56" s="5">
        <f t="shared" si="18"/>
        <v>0</v>
      </c>
      <c r="Z56" s="4"/>
      <c r="AA56" s="4"/>
      <c r="AB56" s="5">
        <f t="shared" si="19"/>
        <v>0</v>
      </c>
      <c r="AC56" s="5">
        <f t="shared" si="22"/>
        <v>1134</v>
      </c>
      <c r="AD56" s="5">
        <f t="shared" si="22"/>
        <v>825</v>
      </c>
      <c r="AE56" s="8">
        <f t="shared" si="21"/>
        <v>-309</v>
      </c>
    </row>
    <row r="57" spans="1:31" x14ac:dyDescent="0.3">
      <c r="A57" s="3" t="s">
        <v>104</v>
      </c>
      <c r="B57" s="4"/>
      <c r="C57" s="4"/>
      <c r="D57" s="5">
        <f t="shared" si="11"/>
        <v>0</v>
      </c>
      <c r="E57" s="4"/>
      <c r="F57" s="4"/>
      <c r="G57" s="5">
        <f t="shared" si="12"/>
        <v>0</v>
      </c>
      <c r="H57" s="4"/>
      <c r="I57" s="4"/>
      <c r="J57" s="5">
        <f t="shared" si="13"/>
        <v>0</v>
      </c>
      <c r="K57" s="4"/>
      <c r="L57" s="4"/>
      <c r="M57" s="5">
        <f t="shared" si="14"/>
        <v>0</v>
      </c>
      <c r="N57" s="4"/>
      <c r="O57" s="4"/>
      <c r="P57" s="5">
        <f t="shared" si="15"/>
        <v>0</v>
      </c>
      <c r="Q57" s="4"/>
      <c r="R57" s="4"/>
      <c r="S57" s="5">
        <f t="shared" si="16"/>
        <v>0</v>
      </c>
      <c r="T57" s="5">
        <f>25</f>
        <v>25</v>
      </c>
      <c r="U57" s="5">
        <f>206.25</f>
        <v>206.25</v>
      </c>
      <c r="V57" s="5">
        <f t="shared" si="17"/>
        <v>181.25</v>
      </c>
      <c r="W57" s="4"/>
      <c r="X57" s="4"/>
      <c r="Y57" s="5">
        <f t="shared" si="18"/>
        <v>0</v>
      </c>
      <c r="Z57" s="4"/>
      <c r="AA57" s="4"/>
      <c r="AB57" s="5">
        <f t="shared" si="19"/>
        <v>0</v>
      </c>
      <c r="AC57" s="5">
        <f t="shared" si="22"/>
        <v>25</v>
      </c>
      <c r="AD57" s="5">
        <f t="shared" si="22"/>
        <v>206.25</v>
      </c>
      <c r="AE57" s="5">
        <f t="shared" si="21"/>
        <v>181.25</v>
      </c>
    </row>
    <row r="58" spans="1:31" x14ac:dyDescent="0.3">
      <c r="A58" s="3" t="s">
        <v>105</v>
      </c>
      <c r="B58" s="7">
        <f>((B55)+(B56))+(B57)</f>
        <v>0</v>
      </c>
      <c r="C58" s="7">
        <f>((C55)+(C56))+(C57)</f>
        <v>0</v>
      </c>
      <c r="D58" s="7">
        <f t="shared" si="11"/>
        <v>0</v>
      </c>
      <c r="E58" s="7">
        <f>((E55)+(E56))+(E57)</f>
        <v>0</v>
      </c>
      <c r="F58" s="7">
        <f>((F55)+(F56))+(F57)</f>
        <v>0</v>
      </c>
      <c r="G58" s="7">
        <f t="shared" si="12"/>
        <v>0</v>
      </c>
      <c r="H58" s="7">
        <f>((H55)+(H56))+(H57)</f>
        <v>0</v>
      </c>
      <c r="I58" s="7">
        <f>((I55)+(I56))+(I57)</f>
        <v>0</v>
      </c>
      <c r="J58" s="7">
        <f t="shared" si="13"/>
        <v>0</v>
      </c>
      <c r="K58" s="7">
        <f>((K55)+(K56))+(K57)</f>
        <v>0</v>
      </c>
      <c r="L58" s="7">
        <f>((L55)+(L56))+(L57)</f>
        <v>0</v>
      </c>
      <c r="M58" s="7">
        <f t="shared" si="14"/>
        <v>0</v>
      </c>
      <c r="N58" s="7">
        <f>((N55)+(N56))+(N57)</f>
        <v>0</v>
      </c>
      <c r="O58" s="7">
        <f>((O55)+(O56))+(O57)</f>
        <v>0</v>
      </c>
      <c r="P58" s="7">
        <f t="shared" si="15"/>
        <v>0</v>
      </c>
      <c r="Q58" s="7">
        <f>((Q55)+(Q56))+(Q57)</f>
        <v>0</v>
      </c>
      <c r="R58" s="7">
        <f>((R55)+(R56))+(R57)</f>
        <v>0</v>
      </c>
      <c r="S58" s="7">
        <f t="shared" si="16"/>
        <v>0</v>
      </c>
      <c r="T58" s="7">
        <f>((T55)+(T56))+(T57)</f>
        <v>1159</v>
      </c>
      <c r="U58" s="7">
        <f>((U55)+(U56))+(U57)</f>
        <v>1031.25</v>
      </c>
      <c r="V58" s="9">
        <f t="shared" si="17"/>
        <v>-127.75</v>
      </c>
      <c r="W58" s="7">
        <f>((W55)+(W56))+(W57)</f>
        <v>0</v>
      </c>
      <c r="X58" s="7">
        <f>((X55)+(X56))+(X57)</f>
        <v>0</v>
      </c>
      <c r="Y58" s="7">
        <f t="shared" si="18"/>
        <v>0</v>
      </c>
      <c r="Z58" s="7">
        <f>((Z55)+(Z56))+(Z57)</f>
        <v>0</v>
      </c>
      <c r="AA58" s="7">
        <f>((AA55)+(AA56))+(AA57)</f>
        <v>0</v>
      </c>
      <c r="AB58" s="7">
        <f t="shared" si="19"/>
        <v>0</v>
      </c>
      <c r="AC58" s="7">
        <f t="shared" si="22"/>
        <v>1159</v>
      </c>
      <c r="AD58" s="7">
        <f t="shared" si="22"/>
        <v>1031.25</v>
      </c>
      <c r="AE58" s="9">
        <f t="shared" si="21"/>
        <v>-127.75</v>
      </c>
    </row>
    <row r="59" spans="1:31" x14ac:dyDescent="0.3">
      <c r="A59" s="3" t="s">
        <v>106</v>
      </c>
      <c r="B59" s="7">
        <f>(((((B48)+(B51))+(B52))+(B53))+(B54))+(B58)</f>
        <v>560.29999999999995</v>
      </c>
      <c r="C59" s="7">
        <f>(((((C48)+(C51))+(C52))+(C53))+(C54))+(C58)</f>
        <v>412.5</v>
      </c>
      <c r="D59" s="9">
        <f t="shared" si="11"/>
        <v>-147.79999999999995</v>
      </c>
      <c r="E59" s="7">
        <f>(((((E48)+(E51))+(E52))+(E53))+(E54))+(E58)</f>
        <v>0</v>
      </c>
      <c r="F59" s="7">
        <f>(((((F48)+(F51))+(F52))+(F53))+(F54))+(F58)</f>
        <v>0</v>
      </c>
      <c r="G59" s="7">
        <f t="shared" si="12"/>
        <v>0</v>
      </c>
      <c r="H59" s="7">
        <f>(((((H48)+(H51))+(H52))+(H53))+(H54))+(H58)</f>
        <v>0</v>
      </c>
      <c r="I59" s="7">
        <f>(((((I48)+(I51))+(I52))+(I53))+(I54))+(I58)</f>
        <v>0</v>
      </c>
      <c r="J59" s="7">
        <f t="shared" si="13"/>
        <v>0</v>
      </c>
      <c r="K59" s="7">
        <f>(((((K48)+(K51))+(K52))+(K53))+(K54))+(K58)</f>
        <v>0</v>
      </c>
      <c r="L59" s="7">
        <f>(((((L48)+(L51))+(L52))+(L53))+(L54))+(L58)</f>
        <v>0</v>
      </c>
      <c r="M59" s="7">
        <f t="shared" si="14"/>
        <v>0</v>
      </c>
      <c r="N59" s="7">
        <f>(((((N48)+(N51))+(N52))+(N53))+(N54))+(N58)</f>
        <v>0</v>
      </c>
      <c r="O59" s="7">
        <f>(((((O48)+(O51))+(O52))+(O53))+(O54))+(O58)</f>
        <v>0</v>
      </c>
      <c r="P59" s="7">
        <f t="shared" si="15"/>
        <v>0</v>
      </c>
      <c r="Q59" s="7">
        <f>(((((Q48)+(Q51))+(Q52))+(Q53))+(Q54))+(Q58)</f>
        <v>0</v>
      </c>
      <c r="R59" s="7">
        <f>(((((R48)+(R51))+(R52))+(R53))+(R54))+(R58)</f>
        <v>0</v>
      </c>
      <c r="S59" s="7">
        <f t="shared" si="16"/>
        <v>0</v>
      </c>
      <c r="T59" s="7">
        <f>(((((T48)+(T51))+(T52))+(T53))+(T54))+(T58)</f>
        <v>2313.75</v>
      </c>
      <c r="U59" s="7">
        <f>(((((U48)+(U51))+(U52))+(U53))+(U54))+(U58)</f>
        <v>4239.51</v>
      </c>
      <c r="V59" s="7">
        <f t="shared" si="17"/>
        <v>1925.7600000000002</v>
      </c>
      <c r="W59" s="7">
        <f>(((((W48)+(W51))+(W52))+(W53))+(W54))+(W58)</f>
        <v>0</v>
      </c>
      <c r="X59" s="7">
        <f>(((((X48)+(X51))+(X52))+(X53))+(X54))+(X58)</f>
        <v>0</v>
      </c>
      <c r="Y59" s="7">
        <f t="shared" si="18"/>
        <v>0</v>
      </c>
      <c r="Z59" s="7">
        <f>(((((Z48)+(Z51))+(Z52))+(Z53))+(Z54))+(Z58)</f>
        <v>0</v>
      </c>
      <c r="AA59" s="7">
        <f>(((((AA48)+(AA51))+(AA52))+(AA53))+(AA54))+(AA58)</f>
        <v>0</v>
      </c>
      <c r="AB59" s="7">
        <f t="shared" si="19"/>
        <v>0</v>
      </c>
      <c r="AC59" s="7">
        <f t="shared" si="22"/>
        <v>2874.05</v>
      </c>
      <c r="AD59" s="7">
        <f t="shared" si="22"/>
        <v>4652.01</v>
      </c>
      <c r="AE59" s="7">
        <f t="shared" si="21"/>
        <v>1777.96</v>
      </c>
    </row>
    <row r="60" spans="1:31" x14ac:dyDescent="0.3">
      <c r="A60" s="3" t="s">
        <v>107</v>
      </c>
      <c r="B60" s="4"/>
      <c r="C60" s="4"/>
      <c r="D60" s="5">
        <f t="shared" si="11"/>
        <v>0</v>
      </c>
      <c r="E60" s="4"/>
      <c r="F60" s="4"/>
      <c r="G60" s="5">
        <f t="shared" si="12"/>
        <v>0</v>
      </c>
      <c r="H60" s="4"/>
      <c r="I60" s="4"/>
      <c r="J60" s="5">
        <f t="shared" si="13"/>
        <v>0</v>
      </c>
      <c r="K60" s="4"/>
      <c r="L60" s="4"/>
      <c r="M60" s="5">
        <f t="shared" si="14"/>
        <v>0</v>
      </c>
      <c r="N60" s="4"/>
      <c r="O60" s="4"/>
      <c r="P60" s="5">
        <f t="shared" si="15"/>
        <v>0</v>
      </c>
      <c r="Q60" s="4"/>
      <c r="R60" s="4"/>
      <c r="S60" s="5">
        <f t="shared" si="16"/>
        <v>0</v>
      </c>
      <c r="T60" s="4"/>
      <c r="U60" s="4"/>
      <c r="V60" s="5">
        <f t="shared" si="17"/>
        <v>0</v>
      </c>
      <c r="W60" s="4"/>
      <c r="X60" s="4"/>
      <c r="Y60" s="5">
        <f t="shared" si="18"/>
        <v>0</v>
      </c>
      <c r="Z60" s="4"/>
      <c r="AA60" s="4"/>
      <c r="AB60" s="5">
        <f t="shared" si="19"/>
        <v>0</v>
      </c>
      <c r="AC60" s="5">
        <f t="shared" si="22"/>
        <v>0</v>
      </c>
      <c r="AD60" s="5">
        <f t="shared" si="22"/>
        <v>0</v>
      </c>
      <c r="AE60" s="5">
        <f t="shared" si="21"/>
        <v>0</v>
      </c>
    </row>
    <row r="61" spans="1:31" x14ac:dyDescent="0.3">
      <c r="A61" s="3" t="s">
        <v>108</v>
      </c>
      <c r="B61" s="5">
        <f>1490</f>
        <v>1490</v>
      </c>
      <c r="C61" s="5">
        <f>1639</f>
        <v>1639</v>
      </c>
      <c r="D61" s="5">
        <f t="shared" si="11"/>
        <v>149</v>
      </c>
      <c r="E61" s="4"/>
      <c r="F61" s="4"/>
      <c r="G61" s="5">
        <f t="shared" si="12"/>
        <v>0</v>
      </c>
      <c r="H61" s="4"/>
      <c r="I61" s="4"/>
      <c r="J61" s="5">
        <f t="shared" si="13"/>
        <v>0</v>
      </c>
      <c r="K61" s="4"/>
      <c r="L61" s="4"/>
      <c r="M61" s="5">
        <f t="shared" si="14"/>
        <v>0</v>
      </c>
      <c r="N61" s="4"/>
      <c r="O61" s="4"/>
      <c r="P61" s="5">
        <f t="shared" si="15"/>
        <v>0</v>
      </c>
      <c r="Q61" s="4"/>
      <c r="R61" s="4"/>
      <c r="S61" s="5">
        <f t="shared" si="16"/>
        <v>0</v>
      </c>
      <c r="T61" s="4"/>
      <c r="U61" s="4"/>
      <c r="V61" s="5">
        <f t="shared" si="17"/>
        <v>0</v>
      </c>
      <c r="W61" s="4"/>
      <c r="X61" s="4"/>
      <c r="Y61" s="5">
        <f t="shared" si="18"/>
        <v>0</v>
      </c>
      <c r="Z61" s="4"/>
      <c r="AA61" s="4"/>
      <c r="AB61" s="5">
        <f t="shared" si="19"/>
        <v>0</v>
      </c>
      <c r="AC61" s="5">
        <f t="shared" si="22"/>
        <v>1490</v>
      </c>
      <c r="AD61" s="5">
        <f t="shared" si="22"/>
        <v>1639</v>
      </c>
      <c r="AE61" s="5">
        <f t="shared" si="21"/>
        <v>149</v>
      </c>
    </row>
    <row r="62" spans="1:31" x14ac:dyDescent="0.3">
      <c r="A62" s="3" t="s">
        <v>109</v>
      </c>
      <c r="B62" s="7">
        <f>(B60)+(B61)</f>
        <v>1490</v>
      </c>
      <c r="C62" s="7">
        <f>(C60)+(C61)</f>
        <v>1639</v>
      </c>
      <c r="D62" s="7">
        <f t="shared" si="11"/>
        <v>149</v>
      </c>
      <c r="E62" s="7">
        <f>(E60)+(E61)</f>
        <v>0</v>
      </c>
      <c r="F62" s="7">
        <f>(F60)+(F61)</f>
        <v>0</v>
      </c>
      <c r="G62" s="7">
        <f t="shared" si="12"/>
        <v>0</v>
      </c>
      <c r="H62" s="7">
        <f>(H60)+(H61)</f>
        <v>0</v>
      </c>
      <c r="I62" s="7">
        <f>(I60)+(I61)</f>
        <v>0</v>
      </c>
      <c r="J62" s="7">
        <f t="shared" si="13"/>
        <v>0</v>
      </c>
      <c r="K62" s="7">
        <f>(K60)+(K61)</f>
        <v>0</v>
      </c>
      <c r="L62" s="7">
        <f>(L60)+(L61)</f>
        <v>0</v>
      </c>
      <c r="M62" s="7">
        <f t="shared" si="14"/>
        <v>0</v>
      </c>
      <c r="N62" s="7">
        <f>(N60)+(N61)</f>
        <v>0</v>
      </c>
      <c r="O62" s="7">
        <f>(O60)+(O61)</f>
        <v>0</v>
      </c>
      <c r="P62" s="7">
        <f t="shared" si="15"/>
        <v>0</v>
      </c>
      <c r="Q62" s="7">
        <f>(Q60)+(Q61)</f>
        <v>0</v>
      </c>
      <c r="R62" s="7">
        <f>(R60)+(R61)</f>
        <v>0</v>
      </c>
      <c r="S62" s="7">
        <f t="shared" si="16"/>
        <v>0</v>
      </c>
      <c r="T62" s="7">
        <f>(T60)+(T61)</f>
        <v>0</v>
      </c>
      <c r="U62" s="7">
        <f>(U60)+(U61)</f>
        <v>0</v>
      </c>
      <c r="V62" s="7">
        <f t="shared" si="17"/>
        <v>0</v>
      </c>
      <c r="W62" s="7">
        <f>(W60)+(W61)</f>
        <v>0</v>
      </c>
      <c r="X62" s="7">
        <f>(X60)+(X61)</f>
        <v>0</v>
      </c>
      <c r="Y62" s="7">
        <f t="shared" si="18"/>
        <v>0</v>
      </c>
      <c r="Z62" s="7">
        <f>(Z60)+(Z61)</f>
        <v>0</v>
      </c>
      <c r="AA62" s="7">
        <f>(AA60)+(AA61)</f>
        <v>0</v>
      </c>
      <c r="AB62" s="7">
        <f t="shared" si="19"/>
        <v>0</v>
      </c>
      <c r="AC62" s="7">
        <f t="shared" si="22"/>
        <v>1490</v>
      </c>
      <c r="AD62" s="7">
        <f t="shared" si="22"/>
        <v>1639</v>
      </c>
      <c r="AE62" s="7">
        <f t="shared" si="21"/>
        <v>149</v>
      </c>
    </row>
    <row r="63" spans="1:31" x14ac:dyDescent="0.3">
      <c r="A63" s="3" t="s">
        <v>110</v>
      </c>
      <c r="B63" s="7">
        <f>((((B40)+(B44))+(B47))+(B59))+(B62)</f>
        <v>14883.27</v>
      </c>
      <c r="C63" s="7">
        <f>((((C40)+(C44))+(C47))+(C59))+(C62)</f>
        <v>12110.669999999998</v>
      </c>
      <c r="D63" s="9">
        <f t="shared" si="11"/>
        <v>-2772.6000000000022</v>
      </c>
      <c r="E63" s="7">
        <f>((((E40)+(E44))+(E47))+(E59))+(E62)</f>
        <v>1262.6099999999999</v>
      </c>
      <c r="F63" s="7">
        <f>((((F40)+(F44))+(F47))+(F59))+(F62)</f>
        <v>35747.58</v>
      </c>
      <c r="G63" s="7">
        <f t="shared" si="12"/>
        <v>34484.97</v>
      </c>
      <c r="H63" s="7">
        <f>((((H40)+(H44))+(H47))+(H59))+(H62)</f>
        <v>8062.6100000000006</v>
      </c>
      <c r="I63" s="7">
        <f>((((I40)+(I44))+(I47))+(I59))+(I62)</f>
        <v>9164.2099999999991</v>
      </c>
      <c r="J63" s="7">
        <f t="shared" si="13"/>
        <v>1101.5999999999985</v>
      </c>
      <c r="K63" s="7">
        <f>((((K40)+(K44))+(K47))+(K59))+(K62)</f>
        <v>0</v>
      </c>
      <c r="L63" s="7">
        <f>((((L40)+(L44))+(L47))+(L59))+(L62)</f>
        <v>0</v>
      </c>
      <c r="M63" s="7">
        <f t="shared" si="14"/>
        <v>0</v>
      </c>
      <c r="N63" s="7">
        <f>((((N40)+(N44))+(N47))+(N59))+(N62)</f>
        <v>0</v>
      </c>
      <c r="O63" s="7">
        <f>((((O40)+(O44))+(O47))+(O59))+(O62)</f>
        <v>11458.37</v>
      </c>
      <c r="P63" s="7">
        <f t="shared" si="15"/>
        <v>11458.37</v>
      </c>
      <c r="Q63" s="7">
        <f>((((Q40)+(Q44))+(Q47))+(Q59))+(Q62)</f>
        <v>121953.1</v>
      </c>
      <c r="R63" s="7">
        <f>((((R40)+(R44))+(R47))+(R59))+(R62)</f>
        <v>124514.82999999999</v>
      </c>
      <c r="S63" s="7">
        <f t="shared" si="16"/>
        <v>2561.7299999999814</v>
      </c>
      <c r="T63" s="7">
        <f>((((T40)+(T44))+(T47))+(T59))+(T62)</f>
        <v>3576.36</v>
      </c>
      <c r="U63" s="7">
        <f>((((U40)+(U44))+(U47))+(U59))+(U62)</f>
        <v>5612.09</v>
      </c>
      <c r="V63" s="7">
        <f t="shared" si="17"/>
        <v>2035.73</v>
      </c>
      <c r="W63" s="7">
        <f>((((W40)+(W44))+(W47))+(W59))+(W62)</f>
        <v>361193.58</v>
      </c>
      <c r="X63" s="7">
        <f>((((X40)+(X44))+(X47))+(X59))+(X62)</f>
        <v>394442.73</v>
      </c>
      <c r="Y63" s="7">
        <f t="shared" si="18"/>
        <v>33249.149999999965</v>
      </c>
      <c r="Z63" s="7">
        <f>((((Z40)+(Z44))+(Z47))+(Z59))+(Z62)</f>
        <v>68.42</v>
      </c>
      <c r="AA63" s="7">
        <f>((((AA40)+(AA44))+(AA47))+(AA59))+(AA62)</f>
        <v>0</v>
      </c>
      <c r="AB63" s="9">
        <f t="shared" si="19"/>
        <v>-68.42</v>
      </c>
      <c r="AC63" s="7">
        <f t="shared" si="22"/>
        <v>510999.95</v>
      </c>
      <c r="AD63" s="7">
        <f t="shared" si="22"/>
        <v>593050.48</v>
      </c>
      <c r="AE63" s="7">
        <f t="shared" si="21"/>
        <v>82050.52999999997</v>
      </c>
    </row>
    <row r="64" spans="1:31" x14ac:dyDescent="0.3">
      <c r="A64" s="3" t="s">
        <v>111</v>
      </c>
      <c r="B64" s="9">
        <f>(B14)-(B63)</f>
        <v>-9208.2800000000007</v>
      </c>
      <c r="C64" s="7">
        <f>(C14)-(C63)</f>
        <v>171.27000000000226</v>
      </c>
      <c r="D64" s="7">
        <f t="shared" si="11"/>
        <v>9379.5500000000029</v>
      </c>
      <c r="E64" s="7">
        <f>(E14)-(E63)</f>
        <v>4412.38</v>
      </c>
      <c r="F64" s="9">
        <f>(F14)-(F63)</f>
        <v>-7103.1399999999994</v>
      </c>
      <c r="G64" s="9">
        <f t="shared" si="12"/>
        <v>-11515.52</v>
      </c>
      <c r="H64" s="9">
        <f>(H14)-(H63)</f>
        <v>-2387.6200000000008</v>
      </c>
      <c r="I64" s="9">
        <f>(I14)-(I63)</f>
        <v>-1603.0299999999988</v>
      </c>
      <c r="J64" s="7">
        <f t="shared" si="13"/>
        <v>784.59000000000196</v>
      </c>
      <c r="K64" s="7">
        <f>(K14)-(K63)</f>
        <v>9141.94</v>
      </c>
      <c r="L64" s="7">
        <f>(L14)-(L63)</f>
        <v>9029.1299999999992</v>
      </c>
      <c r="M64" s="9">
        <f t="shared" si="14"/>
        <v>-112.81000000000131</v>
      </c>
      <c r="N64" s="7">
        <f>(N14)-(N63)</f>
        <v>12500</v>
      </c>
      <c r="O64" s="7">
        <f>(O14)-(O63)</f>
        <v>0</v>
      </c>
      <c r="P64" s="9">
        <f t="shared" si="15"/>
        <v>-12500</v>
      </c>
      <c r="Q64" s="9">
        <f>(Q14)-(Q63)</f>
        <v>-2778.2900000000081</v>
      </c>
      <c r="R64" s="9">
        <f>(R14)-(R63)</f>
        <v>-3590.1799999999785</v>
      </c>
      <c r="S64" s="9">
        <f t="shared" si="16"/>
        <v>-811.88999999997031</v>
      </c>
      <c r="T64" s="7">
        <f>(T14)-(T63)</f>
        <v>2098.6299999999997</v>
      </c>
      <c r="U64" s="7">
        <f>(U14)-(U63)</f>
        <v>115.72000000000025</v>
      </c>
      <c r="V64" s="9">
        <f t="shared" si="17"/>
        <v>-1982.9099999999994</v>
      </c>
      <c r="W64" s="7">
        <f>(W14)-(W63)</f>
        <v>64430.739999999991</v>
      </c>
      <c r="X64" s="7">
        <f>(X14)-(X63)</f>
        <v>35139.390000000014</v>
      </c>
      <c r="Y64" s="9">
        <f t="shared" si="18"/>
        <v>-29291.349999999977</v>
      </c>
      <c r="Z64" s="9">
        <f>(Z14)-(Z63)</f>
        <v>-68.42</v>
      </c>
      <c r="AA64" s="7">
        <f>(AA14)-(AA63)</f>
        <v>0</v>
      </c>
      <c r="AB64" s="7">
        <f t="shared" si="19"/>
        <v>68.42</v>
      </c>
      <c r="AC64" s="7">
        <f t="shared" si="22"/>
        <v>78141.079999999987</v>
      </c>
      <c r="AD64" s="7">
        <f t="shared" si="22"/>
        <v>32159.16000000004</v>
      </c>
      <c r="AE64" s="9">
        <f t="shared" si="21"/>
        <v>-45981.919999999947</v>
      </c>
    </row>
    <row r="65" spans="1:31" x14ac:dyDescent="0.3">
      <c r="A65" s="3" t="s">
        <v>112</v>
      </c>
      <c r="B65" s="9">
        <f>(B64)+(0)</f>
        <v>-9208.2800000000007</v>
      </c>
      <c r="C65" s="7">
        <f>(C64)+(0)</f>
        <v>171.27000000000226</v>
      </c>
      <c r="D65" s="7">
        <f t="shared" si="11"/>
        <v>9379.5500000000029</v>
      </c>
      <c r="E65" s="7">
        <f>(E64)+(0)</f>
        <v>4412.38</v>
      </c>
      <c r="F65" s="9">
        <f>(F64)+(0)</f>
        <v>-7103.1399999999994</v>
      </c>
      <c r="G65" s="9">
        <f t="shared" si="12"/>
        <v>-11515.52</v>
      </c>
      <c r="H65" s="9">
        <f>(H64)+(0)</f>
        <v>-2387.6200000000008</v>
      </c>
      <c r="I65" s="9">
        <f>(I64)+(0)</f>
        <v>-1603.0299999999988</v>
      </c>
      <c r="J65" s="7">
        <f t="shared" si="13"/>
        <v>784.59000000000196</v>
      </c>
      <c r="K65" s="7">
        <f>(K64)+(0)</f>
        <v>9141.94</v>
      </c>
      <c r="L65" s="7">
        <f>(L64)+(0)</f>
        <v>9029.1299999999992</v>
      </c>
      <c r="M65" s="9">
        <f t="shared" si="14"/>
        <v>-112.81000000000131</v>
      </c>
      <c r="N65" s="7">
        <f>(N64)+(0)</f>
        <v>12500</v>
      </c>
      <c r="O65" s="7">
        <f>(O64)+(0)</f>
        <v>0</v>
      </c>
      <c r="P65" s="9">
        <f t="shared" si="15"/>
        <v>-12500</v>
      </c>
      <c r="Q65" s="9">
        <f>(Q64)+(0)</f>
        <v>-2778.2900000000081</v>
      </c>
      <c r="R65" s="9">
        <f>(R64)+(0)</f>
        <v>-3590.1799999999785</v>
      </c>
      <c r="S65" s="9">
        <f t="shared" si="16"/>
        <v>-811.88999999997031</v>
      </c>
      <c r="T65" s="7">
        <f>(T64)+(0)</f>
        <v>2098.6299999999997</v>
      </c>
      <c r="U65" s="7">
        <f>(U64)+(0)</f>
        <v>115.72000000000025</v>
      </c>
      <c r="V65" s="9">
        <f t="shared" si="17"/>
        <v>-1982.9099999999994</v>
      </c>
      <c r="W65" s="7">
        <f>(W64)+(0)</f>
        <v>64430.739999999991</v>
      </c>
      <c r="X65" s="7">
        <f>(X64)+(0)</f>
        <v>35139.390000000014</v>
      </c>
      <c r="Y65" s="9">
        <f t="shared" si="18"/>
        <v>-29291.349999999977</v>
      </c>
      <c r="Z65" s="9">
        <f>(Z64)+(0)</f>
        <v>-68.42</v>
      </c>
      <c r="AA65" s="7">
        <f>(AA64)+(0)</f>
        <v>0</v>
      </c>
      <c r="AB65" s="7">
        <f t="shared" si="19"/>
        <v>68.42</v>
      </c>
      <c r="AC65" s="7">
        <f t="shared" si="22"/>
        <v>78141.079999999987</v>
      </c>
      <c r="AD65" s="7">
        <f t="shared" si="22"/>
        <v>32159.16000000004</v>
      </c>
      <c r="AE65" s="9">
        <f t="shared" si="21"/>
        <v>-45981.919999999947</v>
      </c>
    </row>
    <row r="66" spans="1:31" x14ac:dyDescent="0.3">
      <c r="A66" s="3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</row>
    <row r="69" spans="1:31" x14ac:dyDescent="0.3">
      <c r="A69" s="13" t="s">
        <v>234</v>
      </c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</row>
  </sheetData>
  <mergeCells count="14">
    <mergeCell ref="W5:Y5"/>
    <mergeCell ref="Z5:AB5"/>
    <mergeCell ref="AC5:AE5"/>
    <mergeCell ref="A69:AE69"/>
    <mergeCell ref="A1:AE1"/>
    <mergeCell ref="A2:AE2"/>
    <mergeCell ref="A3:AE3"/>
    <mergeCell ref="B5:D5"/>
    <mergeCell ref="E5:G5"/>
    <mergeCell ref="H5:J5"/>
    <mergeCell ref="K5:M5"/>
    <mergeCell ref="N5:P5"/>
    <mergeCell ref="Q5:S5"/>
    <mergeCell ref="T5:V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7D3FA1-27A2-41A8-8669-F969F8BF987F}">
  <dimension ref="A1:B52"/>
  <sheetViews>
    <sheetView workbookViewId="0">
      <selection activeCell="E10" sqref="E10"/>
    </sheetView>
  </sheetViews>
  <sheetFormatPr defaultRowHeight="14.4" x14ac:dyDescent="0.3"/>
  <cols>
    <col min="1" max="1" width="37" customWidth="1"/>
    <col min="2" max="2" width="18.88671875" customWidth="1"/>
  </cols>
  <sheetData>
    <row r="1" spans="1:2" ht="17.399999999999999" x14ac:dyDescent="0.3">
      <c r="A1" s="15" t="s">
        <v>38</v>
      </c>
      <c r="B1" s="14"/>
    </row>
    <row r="2" spans="1:2" ht="17.399999999999999" x14ac:dyDescent="0.3">
      <c r="A2" s="15" t="s">
        <v>113</v>
      </c>
      <c r="B2" s="14"/>
    </row>
    <row r="3" spans="1:2" x14ac:dyDescent="0.3">
      <c r="A3" s="16" t="s">
        <v>42</v>
      </c>
      <c r="B3" s="14"/>
    </row>
    <row r="5" spans="1:2" x14ac:dyDescent="0.3">
      <c r="A5" s="1"/>
      <c r="B5" s="2" t="s">
        <v>0</v>
      </c>
    </row>
    <row r="6" spans="1:2" x14ac:dyDescent="0.3">
      <c r="A6" s="3" t="s">
        <v>56</v>
      </c>
      <c r="B6" s="4"/>
    </row>
    <row r="7" spans="1:2" x14ac:dyDescent="0.3">
      <c r="A7" s="3" t="s">
        <v>57</v>
      </c>
      <c r="B7" s="4"/>
    </row>
    <row r="8" spans="1:2" x14ac:dyDescent="0.3">
      <c r="A8" s="3" t="s">
        <v>58</v>
      </c>
      <c r="B8" s="5">
        <f>619</f>
        <v>619</v>
      </c>
    </row>
    <row r="9" spans="1:2" x14ac:dyDescent="0.3">
      <c r="A9" s="3" t="s">
        <v>59</v>
      </c>
      <c r="B9" s="7">
        <f>(B7)+(B8)</f>
        <v>619</v>
      </c>
    </row>
    <row r="10" spans="1:2" x14ac:dyDescent="0.3">
      <c r="A10" s="3" t="s">
        <v>60</v>
      </c>
      <c r="B10" s="5">
        <f>842.96</f>
        <v>842.96</v>
      </c>
    </row>
    <row r="11" spans="1:2" x14ac:dyDescent="0.3">
      <c r="A11" s="3" t="s">
        <v>61</v>
      </c>
      <c r="B11" s="5">
        <f>54257.45</f>
        <v>54257.45</v>
      </c>
    </row>
    <row r="12" spans="1:2" x14ac:dyDescent="0.3">
      <c r="A12" s="3" t="s">
        <v>62</v>
      </c>
      <c r="B12" s="7">
        <f>((B9)+(B10))+(B11)</f>
        <v>55719.409999999996</v>
      </c>
    </row>
    <row r="13" spans="1:2" x14ac:dyDescent="0.3">
      <c r="A13" s="3" t="s">
        <v>63</v>
      </c>
      <c r="B13" s="7">
        <f>(B12)-(0)</f>
        <v>55719.409999999996</v>
      </c>
    </row>
    <row r="14" spans="1:2" x14ac:dyDescent="0.3">
      <c r="A14" s="3" t="s">
        <v>64</v>
      </c>
      <c r="B14" s="4"/>
    </row>
    <row r="15" spans="1:2" x14ac:dyDescent="0.3">
      <c r="A15" s="3" t="s">
        <v>65</v>
      </c>
      <c r="B15" s="4"/>
    </row>
    <row r="16" spans="1:2" x14ac:dyDescent="0.3">
      <c r="A16" s="3" t="s">
        <v>67</v>
      </c>
      <c r="B16" s="4"/>
    </row>
    <row r="17" spans="1:2" x14ac:dyDescent="0.3">
      <c r="A17" s="3" t="s">
        <v>68</v>
      </c>
      <c r="B17" s="5">
        <f>87.26</f>
        <v>87.26</v>
      </c>
    </row>
    <row r="18" spans="1:2" x14ac:dyDescent="0.3">
      <c r="A18" s="3" t="s">
        <v>69</v>
      </c>
      <c r="B18" s="5">
        <f>33.35</f>
        <v>33.35</v>
      </c>
    </row>
    <row r="19" spans="1:2" x14ac:dyDescent="0.3">
      <c r="A19" s="3" t="s">
        <v>70</v>
      </c>
      <c r="B19" s="7">
        <f>((B16)+(B17))+(B18)</f>
        <v>120.61000000000001</v>
      </c>
    </row>
    <row r="20" spans="1:2" x14ac:dyDescent="0.3">
      <c r="A20" s="3" t="s">
        <v>71</v>
      </c>
      <c r="B20" s="4"/>
    </row>
    <row r="21" spans="1:2" x14ac:dyDescent="0.3">
      <c r="A21" s="3" t="s">
        <v>72</v>
      </c>
      <c r="B21" s="5">
        <f>260</f>
        <v>260</v>
      </c>
    </row>
    <row r="22" spans="1:2" x14ac:dyDescent="0.3">
      <c r="A22" s="3" t="s">
        <v>74</v>
      </c>
      <c r="B22" s="7">
        <f>(B20)+(B21)</f>
        <v>260</v>
      </c>
    </row>
    <row r="23" spans="1:2" x14ac:dyDescent="0.3">
      <c r="A23" s="3" t="s">
        <v>75</v>
      </c>
      <c r="B23" s="4"/>
    </row>
    <row r="24" spans="1:2" x14ac:dyDescent="0.3">
      <c r="A24" s="3" t="s">
        <v>77</v>
      </c>
      <c r="B24" s="5">
        <f>280.41</f>
        <v>280.41000000000003</v>
      </c>
    </row>
    <row r="25" spans="1:2" x14ac:dyDescent="0.3">
      <c r="A25" s="3" t="s">
        <v>78</v>
      </c>
      <c r="B25" s="5">
        <f>221</f>
        <v>221</v>
      </c>
    </row>
    <row r="26" spans="1:2" x14ac:dyDescent="0.3">
      <c r="A26" s="3" t="s">
        <v>80</v>
      </c>
      <c r="B26" s="7">
        <f>((B23)+(B24))+(B25)</f>
        <v>501.41</v>
      </c>
    </row>
    <row r="27" spans="1:2" x14ac:dyDescent="0.3">
      <c r="A27" s="3" t="s">
        <v>81</v>
      </c>
      <c r="B27" s="4"/>
    </row>
    <row r="28" spans="1:2" x14ac:dyDescent="0.3">
      <c r="A28" s="3" t="s">
        <v>82</v>
      </c>
      <c r="B28" s="5">
        <f>10458.1</f>
        <v>10458.1</v>
      </c>
    </row>
    <row r="29" spans="1:2" x14ac:dyDescent="0.3">
      <c r="A29" s="3" t="s">
        <v>83</v>
      </c>
      <c r="B29" s="5">
        <f>2139.48</f>
        <v>2139.48</v>
      </c>
    </row>
    <row r="30" spans="1:2" x14ac:dyDescent="0.3">
      <c r="A30" s="3" t="s">
        <v>86</v>
      </c>
      <c r="B30" s="7">
        <f>((B27)+(B28))+(B29)</f>
        <v>12597.58</v>
      </c>
    </row>
    <row r="31" spans="1:2" x14ac:dyDescent="0.3">
      <c r="A31" s="3" t="s">
        <v>87</v>
      </c>
      <c r="B31" s="7">
        <f>((((B15)+(B19))+(B22))+(B26))+(B30)</f>
        <v>13479.6</v>
      </c>
    </row>
    <row r="32" spans="1:2" x14ac:dyDescent="0.3">
      <c r="A32" s="3" t="s">
        <v>88</v>
      </c>
      <c r="B32" s="4"/>
    </row>
    <row r="33" spans="1:2" x14ac:dyDescent="0.3">
      <c r="A33" s="3" t="s">
        <v>89</v>
      </c>
      <c r="B33" s="5">
        <f>8716.57</f>
        <v>8716.57</v>
      </c>
    </row>
    <row r="34" spans="1:2" x14ac:dyDescent="0.3">
      <c r="A34" s="3" t="s">
        <v>90</v>
      </c>
      <c r="B34" s="5">
        <f>26500</f>
        <v>26500</v>
      </c>
    </row>
    <row r="35" spans="1:2" x14ac:dyDescent="0.3">
      <c r="A35" s="3" t="s">
        <v>91</v>
      </c>
      <c r="B35" s="7">
        <f>((B32)+(B33))+(B34)</f>
        <v>35216.57</v>
      </c>
    </row>
    <row r="36" spans="1:2" x14ac:dyDescent="0.3">
      <c r="A36" s="3" t="s">
        <v>95</v>
      </c>
      <c r="B36" s="4"/>
    </row>
    <row r="37" spans="1:2" x14ac:dyDescent="0.3">
      <c r="A37" s="3" t="s">
        <v>101</v>
      </c>
      <c r="B37" s="5">
        <f>62.56</f>
        <v>62.56</v>
      </c>
    </row>
    <row r="38" spans="1:2" x14ac:dyDescent="0.3">
      <c r="A38" s="3" t="s">
        <v>102</v>
      </c>
      <c r="B38" s="4"/>
    </row>
    <row r="39" spans="1:2" x14ac:dyDescent="0.3">
      <c r="A39" s="3" t="s">
        <v>103</v>
      </c>
      <c r="B39" s="5">
        <f>75</f>
        <v>75</v>
      </c>
    </row>
    <row r="40" spans="1:2" x14ac:dyDescent="0.3">
      <c r="A40" s="3" t="s">
        <v>104</v>
      </c>
      <c r="B40" s="5">
        <f>20</f>
        <v>20</v>
      </c>
    </row>
    <row r="41" spans="1:2" x14ac:dyDescent="0.3">
      <c r="A41" s="3" t="s">
        <v>105</v>
      </c>
      <c r="B41" s="7">
        <f>((B38)+(B39))+(B40)</f>
        <v>95</v>
      </c>
    </row>
    <row r="42" spans="1:2" x14ac:dyDescent="0.3">
      <c r="A42" s="3" t="s">
        <v>106</v>
      </c>
      <c r="B42" s="7">
        <f>((B36)+(B37))+(B41)</f>
        <v>157.56</v>
      </c>
    </row>
    <row r="43" spans="1:2" x14ac:dyDescent="0.3">
      <c r="A43" s="3" t="s">
        <v>107</v>
      </c>
      <c r="B43" s="4"/>
    </row>
    <row r="44" spans="1:2" x14ac:dyDescent="0.3">
      <c r="A44" s="3" t="s">
        <v>108</v>
      </c>
      <c r="B44" s="5">
        <f>149</f>
        <v>149</v>
      </c>
    </row>
    <row r="45" spans="1:2" x14ac:dyDescent="0.3">
      <c r="A45" s="3" t="s">
        <v>109</v>
      </c>
      <c r="B45" s="7">
        <f>(B43)+(B44)</f>
        <v>149</v>
      </c>
    </row>
    <row r="46" spans="1:2" x14ac:dyDescent="0.3">
      <c r="A46" s="3" t="s">
        <v>110</v>
      </c>
      <c r="B46" s="7">
        <f>(((B31)+(B35))+(B42))+(B45)</f>
        <v>49002.729999999996</v>
      </c>
    </row>
    <row r="47" spans="1:2" x14ac:dyDescent="0.3">
      <c r="A47" s="3" t="s">
        <v>111</v>
      </c>
      <c r="B47" s="7">
        <f>(B13)-(B46)</f>
        <v>6716.68</v>
      </c>
    </row>
    <row r="48" spans="1:2" x14ac:dyDescent="0.3">
      <c r="A48" s="3" t="s">
        <v>112</v>
      </c>
      <c r="B48" s="7">
        <f>(B47)+(0)</f>
        <v>6716.68</v>
      </c>
    </row>
    <row r="49" spans="1:2" x14ac:dyDescent="0.3">
      <c r="A49" s="3"/>
      <c r="B49" s="4"/>
    </row>
    <row r="52" spans="1:2" x14ac:dyDescent="0.3">
      <c r="A52" s="13" t="s">
        <v>114</v>
      </c>
      <c r="B52" s="14"/>
    </row>
  </sheetData>
  <mergeCells count="4">
    <mergeCell ref="A1:B1"/>
    <mergeCell ref="A2:B2"/>
    <mergeCell ref="A3:B3"/>
    <mergeCell ref="A52:B5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7C9BD2-0E06-466B-8769-6E283A8904F6}">
  <dimension ref="A1:J52"/>
  <sheetViews>
    <sheetView workbookViewId="0">
      <selection activeCell="L5" sqref="L5"/>
    </sheetView>
  </sheetViews>
  <sheetFormatPr defaultRowHeight="14.4" x14ac:dyDescent="0.3"/>
  <cols>
    <col min="1" max="1" width="37" customWidth="1"/>
    <col min="2" max="5" width="7.77734375" customWidth="1"/>
    <col min="6" max="6" width="9.44140625" customWidth="1"/>
    <col min="7" max="7" width="7.77734375" customWidth="1"/>
    <col min="8" max="8" width="9.44140625" customWidth="1"/>
    <col min="9" max="9" width="7.77734375" customWidth="1"/>
    <col min="10" max="10" width="9.44140625" customWidth="1"/>
  </cols>
  <sheetData>
    <row r="1" spans="1:10" ht="17.399999999999999" x14ac:dyDescent="0.3">
      <c r="A1" s="15" t="s">
        <v>38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17.399999999999999" x14ac:dyDescent="0.3">
      <c r="A2" s="15" t="s">
        <v>115</v>
      </c>
      <c r="B2" s="14"/>
      <c r="C2" s="14"/>
      <c r="D2" s="14"/>
      <c r="E2" s="14"/>
      <c r="F2" s="14"/>
      <c r="G2" s="14"/>
      <c r="H2" s="14"/>
      <c r="I2" s="14"/>
      <c r="J2" s="14"/>
    </row>
    <row r="3" spans="1:10" x14ac:dyDescent="0.3">
      <c r="A3" s="16" t="s">
        <v>42</v>
      </c>
      <c r="B3" s="14"/>
      <c r="C3" s="14"/>
      <c r="D3" s="14"/>
      <c r="E3" s="14"/>
      <c r="F3" s="14"/>
      <c r="G3" s="14"/>
      <c r="H3" s="14"/>
      <c r="I3" s="14"/>
      <c r="J3" s="14"/>
    </row>
    <row r="5" spans="1:10" ht="36.6" x14ac:dyDescent="0.3">
      <c r="A5" s="1"/>
      <c r="B5" s="2" t="s">
        <v>43</v>
      </c>
      <c r="C5" s="2" t="s">
        <v>44</v>
      </c>
      <c r="D5" s="2" t="s">
        <v>45</v>
      </c>
      <c r="E5" s="2" t="s">
        <v>46</v>
      </c>
      <c r="F5" s="2" t="s">
        <v>48</v>
      </c>
      <c r="G5" s="2" t="s">
        <v>49</v>
      </c>
      <c r="H5" s="2" t="s">
        <v>50</v>
      </c>
      <c r="I5" s="2" t="s">
        <v>51</v>
      </c>
      <c r="J5" s="2" t="s">
        <v>52</v>
      </c>
    </row>
    <row r="6" spans="1:10" x14ac:dyDescent="0.3">
      <c r="A6" s="3" t="s">
        <v>56</v>
      </c>
      <c r="B6" s="4"/>
      <c r="C6" s="4"/>
      <c r="D6" s="4"/>
      <c r="E6" s="4"/>
      <c r="F6" s="4"/>
      <c r="G6" s="4"/>
      <c r="H6" s="4"/>
      <c r="I6" s="4"/>
      <c r="J6" s="4"/>
    </row>
    <row r="7" spans="1:10" x14ac:dyDescent="0.3">
      <c r="A7" s="3" t="s">
        <v>57</v>
      </c>
      <c r="B7" s="4"/>
      <c r="C7" s="4"/>
      <c r="D7" s="4"/>
      <c r="E7" s="4"/>
      <c r="F7" s="4"/>
      <c r="G7" s="4"/>
      <c r="H7" s="4"/>
      <c r="I7" s="4"/>
      <c r="J7" s="5">
        <f t="shared" ref="J7:J13" si="0">(((((((B7)+(C7))+(D7))+(E7))+(F7))+(G7))+(H7))+(I7)</f>
        <v>0</v>
      </c>
    </row>
    <row r="8" spans="1:10" x14ac:dyDescent="0.3">
      <c r="A8" s="3" t="s">
        <v>58</v>
      </c>
      <c r="B8" s="4"/>
      <c r="C8" s="4"/>
      <c r="D8" s="4"/>
      <c r="E8" s="4"/>
      <c r="F8" s="4"/>
      <c r="G8" s="4"/>
      <c r="H8" s="4"/>
      <c r="I8" s="5">
        <f>619</f>
        <v>619</v>
      </c>
      <c r="J8" s="5">
        <f t="shared" si="0"/>
        <v>619</v>
      </c>
    </row>
    <row r="9" spans="1:10" x14ac:dyDescent="0.3">
      <c r="A9" s="3" t="s">
        <v>59</v>
      </c>
      <c r="B9" s="7">
        <f t="shared" ref="B9:I9" si="1">(B7)+(B8)</f>
        <v>0</v>
      </c>
      <c r="C9" s="7">
        <f t="shared" si="1"/>
        <v>0</v>
      </c>
      <c r="D9" s="7">
        <f t="shared" si="1"/>
        <v>0</v>
      </c>
      <c r="E9" s="7">
        <f t="shared" si="1"/>
        <v>0</v>
      </c>
      <c r="F9" s="7">
        <f t="shared" si="1"/>
        <v>0</v>
      </c>
      <c r="G9" s="7">
        <f t="shared" si="1"/>
        <v>0</v>
      </c>
      <c r="H9" s="7">
        <f t="shared" si="1"/>
        <v>0</v>
      </c>
      <c r="I9" s="7">
        <f t="shared" si="1"/>
        <v>619</v>
      </c>
      <c r="J9" s="7">
        <f t="shared" si="0"/>
        <v>619</v>
      </c>
    </row>
    <row r="10" spans="1:10" x14ac:dyDescent="0.3">
      <c r="A10" s="3" t="s">
        <v>60</v>
      </c>
      <c r="B10" s="4"/>
      <c r="C10" s="4"/>
      <c r="D10" s="4"/>
      <c r="E10" s="5">
        <f>842.96</f>
        <v>842.96</v>
      </c>
      <c r="F10" s="4"/>
      <c r="G10" s="4"/>
      <c r="H10" s="4"/>
      <c r="I10" s="4"/>
      <c r="J10" s="5">
        <f t="shared" si="0"/>
        <v>842.96</v>
      </c>
    </row>
    <row r="11" spans="1:10" x14ac:dyDescent="0.3">
      <c r="A11" s="3" t="s">
        <v>61</v>
      </c>
      <c r="B11" s="5">
        <f>542.57</f>
        <v>542.57000000000005</v>
      </c>
      <c r="C11" s="5">
        <f>542.57</f>
        <v>542.57000000000005</v>
      </c>
      <c r="D11" s="5">
        <f>542.57</f>
        <v>542.57000000000005</v>
      </c>
      <c r="E11" s="4"/>
      <c r="F11" s="5">
        <f>11394.07</f>
        <v>11394.07</v>
      </c>
      <c r="G11" s="5">
        <f>542.57</f>
        <v>542.57000000000005</v>
      </c>
      <c r="H11" s="5">
        <f>40693.1</f>
        <v>40693.1</v>
      </c>
      <c r="I11" s="4"/>
      <c r="J11" s="5">
        <f t="shared" si="0"/>
        <v>54257.45</v>
      </c>
    </row>
    <row r="12" spans="1:10" x14ac:dyDescent="0.3">
      <c r="A12" s="3" t="s">
        <v>62</v>
      </c>
      <c r="B12" s="7">
        <f t="shared" ref="B12:I12" si="2">((B9)+(B10))+(B11)</f>
        <v>542.57000000000005</v>
      </c>
      <c r="C12" s="7">
        <f t="shared" si="2"/>
        <v>542.57000000000005</v>
      </c>
      <c r="D12" s="7">
        <f t="shared" si="2"/>
        <v>542.57000000000005</v>
      </c>
      <c r="E12" s="7">
        <f t="shared" si="2"/>
        <v>842.96</v>
      </c>
      <c r="F12" s="7">
        <f t="shared" si="2"/>
        <v>11394.07</v>
      </c>
      <c r="G12" s="7">
        <f t="shared" si="2"/>
        <v>542.57000000000005</v>
      </c>
      <c r="H12" s="7">
        <f t="shared" si="2"/>
        <v>40693.1</v>
      </c>
      <c r="I12" s="7">
        <f t="shared" si="2"/>
        <v>619</v>
      </c>
      <c r="J12" s="7">
        <f t="shared" si="0"/>
        <v>55719.409999999996</v>
      </c>
    </row>
    <row r="13" spans="1:10" x14ac:dyDescent="0.3">
      <c r="A13" s="3" t="s">
        <v>63</v>
      </c>
      <c r="B13" s="7">
        <f t="shared" ref="B13:I13" si="3">(B12)-(0)</f>
        <v>542.57000000000005</v>
      </c>
      <c r="C13" s="7">
        <f t="shared" si="3"/>
        <v>542.57000000000005</v>
      </c>
      <c r="D13" s="7">
        <f t="shared" si="3"/>
        <v>542.57000000000005</v>
      </c>
      <c r="E13" s="7">
        <f t="shared" si="3"/>
        <v>842.96</v>
      </c>
      <c r="F13" s="7">
        <f t="shared" si="3"/>
        <v>11394.07</v>
      </c>
      <c r="G13" s="7">
        <f t="shared" si="3"/>
        <v>542.57000000000005</v>
      </c>
      <c r="H13" s="7">
        <f t="shared" si="3"/>
        <v>40693.1</v>
      </c>
      <c r="I13" s="7">
        <f t="shared" si="3"/>
        <v>619</v>
      </c>
      <c r="J13" s="7">
        <f t="shared" si="0"/>
        <v>55719.409999999996</v>
      </c>
    </row>
    <row r="14" spans="1:10" x14ac:dyDescent="0.3">
      <c r="A14" s="3" t="s">
        <v>64</v>
      </c>
      <c r="B14" s="4"/>
      <c r="C14" s="4"/>
      <c r="D14" s="4"/>
      <c r="E14" s="4"/>
      <c r="F14" s="4"/>
      <c r="G14" s="4"/>
      <c r="H14" s="4"/>
      <c r="I14" s="4"/>
      <c r="J14" s="4"/>
    </row>
    <row r="15" spans="1:10" x14ac:dyDescent="0.3">
      <c r="A15" s="3" t="s">
        <v>65</v>
      </c>
      <c r="B15" s="4"/>
      <c r="C15" s="4"/>
      <c r="D15" s="4"/>
      <c r="E15" s="4"/>
      <c r="F15" s="4"/>
      <c r="G15" s="4"/>
      <c r="H15" s="4"/>
      <c r="I15" s="4"/>
      <c r="J15" s="5">
        <f t="shared" ref="J15:J48" si="4">(((((((B15)+(C15))+(D15))+(E15))+(F15))+(G15))+(H15))+(I15)</f>
        <v>0</v>
      </c>
    </row>
    <row r="16" spans="1:10" x14ac:dyDescent="0.3">
      <c r="A16" s="3" t="s">
        <v>67</v>
      </c>
      <c r="B16" s="4"/>
      <c r="C16" s="4"/>
      <c r="D16" s="4"/>
      <c r="E16" s="4"/>
      <c r="F16" s="4"/>
      <c r="G16" s="4"/>
      <c r="H16" s="4"/>
      <c r="I16" s="4"/>
      <c r="J16" s="5">
        <f t="shared" si="4"/>
        <v>0</v>
      </c>
    </row>
    <row r="17" spans="1:10" x14ac:dyDescent="0.3">
      <c r="A17" s="3" t="s">
        <v>68</v>
      </c>
      <c r="B17" s="4"/>
      <c r="C17" s="4"/>
      <c r="D17" s="4"/>
      <c r="E17" s="4"/>
      <c r="F17" s="4"/>
      <c r="G17" s="4"/>
      <c r="H17" s="4"/>
      <c r="I17" s="5">
        <f>87.26</f>
        <v>87.26</v>
      </c>
      <c r="J17" s="5">
        <f t="shared" si="4"/>
        <v>87.26</v>
      </c>
    </row>
    <row r="18" spans="1:10" x14ac:dyDescent="0.3">
      <c r="A18" s="3" t="s">
        <v>69</v>
      </c>
      <c r="B18" s="4"/>
      <c r="C18" s="4"/>
      <c r="D18" s="4"/>
      <c r="E18" s="4"/>
      <c r="F18" s="4"/>
      <c r="G18" s="4"/>
      <c r="H18" s="4"/>
      <c r="I18" s="5">
        <f>33.35</f>
        <v>33.35</v>
      </c>
      <c r="J18" s="5">
        <f t="shared" si="4"/>
        <v>33.35</v>
      </c>
    </row>
    <row r="19" spans="1:10" x14ac:dyDescent="0.3">
      <c r="A19" s="3" t="s">
        <v>70</v>
      </c>
      <c r="B19" s="7">
        <f t="shared" ref="B19:I19" si="5">((B16)+(B17))+(B18)</f>
        <v>0</v>
      </c>
      <c r="C19" s="7">
        <f t="shared" si="5"/>
        <v>0</v>
      </c>
      <c r="D19" s="7">
        <f t="shared" si="5"/>
        <v>0</v>
      </c>
      <c r="E19" s="7">
        <f t="shared" si="5"/>
        <v>0</v>
      </c>
      <c r="F19" s="7">
        <f t="shared" si="5"/>
        <v>0</v>
      </c>
      <c r="G19" s="7">
        <f t="shared" si="5"/>
        <v>0</v>
      </c>
      <c r="H19" s="7">
        <f t="shared" si="5"/>
        <v>0</v>
      </c>
      <c r="I19" s="7">
        <f t="shared" si="5"/>
        <v>120.61000000000001</v>
      </c>
      <c r="J19" s="7">
        <f t="shared" si="4"/>
        <v>120.61000000000001</v>
      </c>
    </row>
    <row r="20" spans="1:10" x14ac:dyDescent="0.3">
      <c r="A20" s="3" t="s">
        <v>71</v>
      </c>
      <c r="B20" s="4"/>
      <c r="C20" s="4"/>
      <c r="D20" s="4"/>
      <c r="E20" s="4"/>
      <c r="F20" s="4"/>
      <c r="G20" s="4"/>
      <c r="H20" s="4"/>
      <c r="I20" s="4"/>
      <c r="J20" s="5">
        <f t="shared" si="4"/>
        <v>0</v>
      </c>
    </row>
    <row r="21" spans="1:10" x14ac:dyDescent="0.3">
      <c r="A21" s="3" t="s">
        <v>72</v>
      </c>
      <c r="B21" s="4"/>
      <c r="C21" s="4"/>
      <c r="D21" s="5">
        <f>260</f>
        <v>260</v>
      </c>
      <c r="E21" s="4"/>
      <c r="F21" s="4"/>
      <c r="G21" s="4"/>
      <c r="H21" s="4"/>
      <c r="I21" s="4"/>
      <c r="J21" s="5">
        <f t="shared" si="4"/>
        <v>260</v>
      </c>
    </row>
    <row r="22" spans="1:10" x14ac:dyDescent="0.3">
      <c r="A22" s="3" t="s">
        <v>74</v>
      </c>
      <c r="B22" s="7">
        <f t="shared" ref="B22:I22" si="6">(B20)+(B21)</f>
        <v>0</v>
      </c>
      <c r="C22" s="7">
        <f t="shared" si="6"/>
        <v>0</v>
      </c>
      <c r="D22" s="7">
        <f t="shared" si="6"/>
        <v>260</v>
      </c>
      <c r="E22" s="7">
        <f t="shared" si="6"/>
        <v>0</v>
      </c>
      <c r="F22" s="7">
        <f t="shared" si="6"/>
        <v>0</v>
      </c>
      <c r="G22" s="7">
        <f t="shared" si="6"/>
        <v>0</v>
      </c>
      <c r="H22" s="7">
        <f t="shared" si="6"/>
        <v>0</v>
      </c>
      <c r="I22" s="7">
        <f t="shared" si="6"/>
        <v>0</v>
      </c>
      <c r="J22" s="7">
        <f t="shared" si="4"/>
        <v>260</v>
      </c>
    </row>
    <row r="23" spans="1:10" x14ac:dyDescent="0.3">
      <c r="A23" s="3" t="s">
        <v>75</v>
      </c>
      <c r="B23" s="4"/>
      <c r="C23" s="4"/>
      <c r="D23" s="4"/>
      <c r="E23" s="4"/>
      <c r="F23" s="4"/>
      <c r="G23" s="4"/>
      <c r="H23" s="4"/>
      <c r="I23" s="4"/>
      <c r="J23" s="5">
        <f t="shared" si="4"/>
        <v>0</v>
      </c>
    </row>
    <row r="24" spans="1:10" x14ac:dyDescent="0.3">
      <c r="A24" s="3" t="s">
        <v>77</v>
      </c>
      <c r="B24" s="5">
        <f>280.41</f>
        <v>280.41000000000003</v>
      </c>
      <c r="C24" s="4"/>
      <c r="D24" s="4"/>
      <c r="E24" s="4"/>
      <c r="F24" s="4"/>
      <c r="G24" s="4"/>
      <c r="H24" s="4"/>
      <c r="I24" s="4"/>
      <c r="J24" s="5">
        <f t="shared" si="4"/>
        <v>280.41000000000003</v>
      </c>
    </row>
    <row r="25" spans="1:10" x14ac:dyDescent="0.3">
      <c r="A25" s="3" t="s">
        <v>78</v>
      </c>
      <c r="B25" s="5">
        <f>221</f>
        <v>221</v>
      </c>
      <c r="C25" s="4"/>
      <c r="D25" s="4"/>
      <c r="E25" s="4"/>
      <c r="F25" s="4"/>
      <c r="G25" s="4"/>
      <c r="H25" s="4"/>
      <c r="I25" s="4"/>
      <c r="J25" s="5">
        <f t="shared" si="4"/>
        <v>221</v>
      </c>
    </row>
    <row r="26" spans="1:10" x14ac:dyDescent="0.3">
      <c r="A26" s="3" t="s">
        <v>80</v>
      </c>
      <c r="B26" s="7">
        <f t="shared" ref="B26:I26" si="7">((B23)+(B24))+(B25)</f>
        <v>501.41</v>
      </c>
      <c r="C26" s="7">
        <f t="shared" si="7"/>
        <v>0</v>
      </c>
      <c r="D26" s="7">
        <f t="shared" si="7"/>
        <v>0</v>
      </c>
      <c r="E26" s="7">
        <f t="shared" si="7"/>
        <v>0</v>
      </c>
      <c r="F26" s="7">
        <f t="shared" si="7"/>
        <v>0</v>
      </c>
      <c r="G26" s="7">
        <f t="shared" si="7"/>
        <v>0</v>
      </c>
      <c r="H26" s="7">
        <f t="shared" si="7"/>
        <v>0</v>
      </c>
      <c r="I26" s="7">
        <f t="shared" si="7"/>
        <v>0</v>
      </c>
      <c r="J26" s="7">
        <f t="shared" si="4"/>
        <v>501.41</v>
      </c>
    </row>
    <row r="27" spans="1:10" x14ac:dyDescent="0.3">
      <c r="A27" s="3" t="s">
        <v>81</v>
      </c>
      <c r="B27" s="4"/>
      <c r="C27" s="4"/>
      <c r="D27" s="4"/>
      <c r="E27" s="4"/>
      <c r="F27" s="4"/>
      <c r="G27" s="4"/>
      <c r="H27" s="4"/>
      <c r="I27" s="4"/>
      <c r="J27" s="5">
        <f t="shared" si="4"/>
        <v>0</v>
      </c>
    </row>
    <row r="28" spans="1:10" x14ac:dyDescent="0.3">
      <c r="A28" s="3" t="s">
        <v>82</v>
      </c>
      <c r="B28" s="5">
        <f>104.59</f>
        <v>104.59</v>
      </c>
      <c r="C28" s="5">
        <f>104.59</f>
        <v>104.59</v>
      </c>
      <c r="D28" s="5">
        <f>104.59</f>
        <v>104.59</v>
      </c>
      <c r="E28" s="4"/>
      <c r="F28" s="5">
        <f>2196.21</f>
        <v>2196.21</v>
      </c>
      <c r="G28" s="5">
        <f>104.59</f>
        <v>104.59</v>
      </c>
      <c r="H28" s="5">
        <f>7843.53</f>
        <v>7843.53</v>
      </c>
      <c r="I28" s="4"/>
      <c r="J28" s="5">
        <f t="shared" si="4"/>
        <v>10458.1</v>
      </c>
    </row>
    <row r="29" spans="1:10" x14ac:dyDescent="0.3">
      <c r="A29" s="3" t="s">
        <v>83</v>
      </c>
      <c r="B29" s="5">
        <f>21.39</f>
        <v>21.39</v>
      </c>
      <c r="C29" s="5">
        <f>21.39</f>
        <v>21.39</v>
      </c>
      <c r="D29" s="5">
        <f>21.39</f>
        <v>21.39</v>
      </c>
      <c r="E29" s="4"/>
      <c r="F29" s="5">
        <f>449.29</f>
        <v>449.29</v>
      </c>
      <c r="G29" s="5">
        <f>21.39</f>
        <v>21.39</v>
      </c>
      <c r="H29" s="5">
        <f>1604.63</f>
        <v>1604.63</v>
      </c>
      <c r="I29" s="4"/>
      <c r="J29" s="5">
        <f t="shared" si="4"/>
        <v>2139.48</v>
      </c>
    </row>
    <row r="30" spans="1:10" x14ac:dyDescent="0.3">
      <c r="A30" s="3" t="s">
        <v>86</v>
      </c>
      <c r="B30" s="7">
        <f t="shared" ref="B30:I30" si="8">((B27)+(B28))+(B29)</f>
        <v>125.98</v>
      </c>
      <c r="C30" s="7">
        <f t="shared" si="8"/>
        <v>125.98</v>
      </c>
      <c r="D30" s="7">
        <f t="shared" si="8"/>
        <v>125.98</v>
      </c>
      <c r="E30" s="7">
        <f t="shared" si="8"/>
        <v>0</v>
      </c>
      <c r="F30" s="7">
        <f t="shared" si="8"/>
        <v>2645.5</v>
      </c>
      <c r="G30" s="7">
        <f t="shared" si="8"/>
        <v>125.98</v>
      </c>
      <c r="H30" s="7">
        <f t="shared" si="8"/>
        <v>9448.16</v>
      </c>
      <c r="I30" s="7">
        <f t="shared" si="8"/>
        <v>0</v>
      </c>
      <c r="J30" s="7">
        <f t="shared" si="4"/>
        <v>12597.58</v>
      </c>
    </row>
    <row r="31" spans="1:10" x14ac:dyDescent="0.3">
      <c r="A31" s="3" t="s">
        <v>87</v>
      </c>
      <c r="B31" s="7">
        <f t="shared" ref="B31:I31" si="9">((((B15)+(B19))+(B22))+(B26))+(B30)</f>
        <v>627.39</v>
      </c>
      <c r="C31" s="7">
        <f t="shared" si="9"/>
        <v>125.98</v>
      </c>
      <c r="D31" s="7">
        <f t="shared" si="9"/>
        <v>385.98</v>
      </c>
      <c r="E31" s="7">
        <f t="shared" si="9"/>
        <v>0</v>
      </c>
      <c r="F31" s="7">
        <f t="shared" si="9"/>
        <v>2645.5</v>
      </c>
      <c r="G31" s="7">
        <f t="shared" si="9"/>
        <v>125.98</v>
      </c>
      <c r="H31" s="7">
        <f t="shared" si="9"/>
        <v>9448.16</v>
      </c>
      <c r="I31" s="7">
        <f t="shared" si="9"/>
        <v>120.61000000000001</v>
      </c>
      <c r="J31" s="7">
        <f t="shared" si="4"/>
        <v>13479.6</v>
      </c>
    </row>
    <row r="32" spans="1:10" x14ac:dyDescent="0.3">
      <c r="A32" s="3" t="s">
        <v>88</v>
      </c>
      <c r="B32" s="4"/>
      <c r="C32" s="4"/>
      <c r="D32" s="4"/>
      <c r="E32" s="4"/>
      <c r="F32" s="4"/>
      <c r="G32" s="4"/>
      <c r="H32" s="4"/>
      <c r="I32" s="4"/>
      <c r="J32" s="5">
        <f t="shared" si="4"/>
        <v>0</v>
      </c>
    </row>
    <row r="33" spans="1:10" x14ac:dyDescent="0.3">
      <c r="A33" s="3" t="s">
        <v>89</v>
      </c>
      <c r="B33" s="4"/>
      <c r="C33" s="4"/>
      <c r="D33" s="4"/>
      <c r="E33" s="4"/>
      <c r="F33" s="5">
        <f>8716.57</f>
        <v>8716.57</v>
      </c>
      <c r="G33" s="4"/>
      <c r="H33" s="4"/>
      <c r="I33" s="4"/>
      <c r="J33" s="5">
        <f t="shared" si="4"/>
        <v>8716.57</v>
      </c>
    </row>
    <row r="34" spans="1:10" x14ac:dyDescent="0.3">
      <c r="A34" s="3" t="s">
        <v>90</v>
      </c>
      <c r="B34" s="4"/>
      <c r="C34" s="4"/>
      <c r="D34" s="4"/>
      <c r="E34" s="4"/>
      <c r="F34" s="4"/>
      <c r="G34" s="4"/>
      <c r="H34" s="5">
        <f>26500</f>
        <v>26500</v>
      </c>
      <c r="I34" s="4"/>
      <c r="J34" s="5">
        <f t="shared" si="4"/>
        <v>26500</v>
      </c>
    </row>
    <row r="35" spans="1:10" x14ac:dyDescent="0.3">
      <c r="A35" s="3" t="s">
        <v>91</v>
      </c>
      <c r="B35" s="7">
        <f t="shared" ref="B35:I35" si="10">((B32)+(B33))+(B34)</f>
        <v>0</v>
      </c>
      <c r="C35" s="7">
        <f t="shared" si="10"/>
        <v>0</v>
      </c>
      <c r="D35" s="7">
        <f t="shared" si="10"/>
        <v>0</v>
      </c>
      <c r="E35" s="7">
        <f t="shared" si="10"/>
        <v>0</v>
      </c>
      <c r="F35" s="7">
        <f t="shared" si="10"/>
        <v>8716.57</v>
      </c>
      <c r="G35" s="7">
        <f t="shared" si="10"/>
        <v>0</v>
      </c>
      <c r="H35" s="7">
        <f t="shared" si="10"/>
        <v>26500</v>
      </c>
      <c r="I35" s="7">
        <f t="shared" si="10"/>
        <v>0</v>
      </c>
      <c r="J35" s="7">
        <f t="shared" si="4"/>
        <v>35216.57</v>
      </c>
    </row>
    <row r="36" spans="1:10" x14ac:dyDescent="0.3">
      <c r="A36" s="3" t="s">
        <v>95</v>
      </c>
      <c r="B36" s="4"/>
      <c r="C36" s="4"/>
      <c r="D36" s="4"/>
      <c r="E36" s="4"/>
      <c r="F36" s="4"/>
      <c r="G36" s="4"/>
      <c r="H36" s="4"/>
      <c r="I36" s="4"/>
      <c r="J36" s="5">
        <f t="shared" si="4"/>
        <v>0</v>
      </c>
    </row>
    <row r="37" spans="1:10" x14ac:dyDescent="0.3">
      <c r="A37" s="3" t="s">
        <v>101</v>
      </c>
      <c r="B37" s="4"/>
      <c r="C37" s="4"/>
      <c r="D37" s="4"/>
      <c r="E37" s="4"/>
      <c r="F37" s="4"/>
      <c r="G37" s="4"/>
      <c r="H37" s="4"/>
      <c r="I37" s="5">
        <f>62.56</f>
        <v>62.56</v>
      </c>
      <c r="J37" s="5">
        <f t="shared" si="4"/>
        <v>62.56</v>
      </c>
    </row>
    <row r="38" spans="1:10" x14ac:dyDescent="0.3">
      <c r="A38" s="3" t="s">
        <v>102</v>
      </c>
      <c r="B38" s="4"/>
      <c r="C38" s="4"/>
      <c r="D38" s="4"/>
      <c r="E38" s="4"/>
      <c r="F38" s="4"/>
      <c r="G38" s="4"/>
      <c r="H38" s="4"/>
      <c r="I38" s="4"/>
      <c r="J38" s="5">
        <f t="shared" si="4"/>
        <v>0</v>
      </c>
    </row>
    <row r="39" spans="1:10" x14ac:dyDescent="0.3">
      <c r="A39" s="3" t="s">
        <v>103</v>
      </c>
      <c r="B39" s="4"/>
      <c r="C39" s="4"/>
      <c r="D39" s="4"/>
      <c r="E39" s="4"/>
      <c r="F39" s="4"/>
      <c r="G39" s="5">
        <f>75</f>
        <v>75</v>
      </c>
      <c r="H39" s="4"/>
      <c r="I39" s="4"/>
      <c r="J39" s="5">
        <f t="shared" si="4"/>
        <v>75</v>
      </c>
    </row>
    <row r="40" spans="1:10" x14ac:dyDescent="0.3">
      <c r="A40" s="3" t="s">
        <v>104</v>
      </c>
      <c r="B40" s="4"/>
      <c r="C40" s="4"/>
      <c r="D40" s="4"/>
      <c r="E40" s="4"/>
      <c r="F40" s="4"/>
      <c r="G40" s="5">
        <f>20</f>
        <v>20</v>
      </c>
      <c r="H40" s="4"/>
      <c r="I40" s="4"/>
      <c r="J40" s="5">
        <f t="shared" si="4"/>
        <v>20</v>
      </c>
    </row>
    <row r="41" spans="1:10" x14ac:dyDescent="0.3">
      <c r="A41" s="3" t="s">
        <v>105</v>
      </c>
      <c r="B41" s="7">
        <f t="shared" ref="B41:I41" si="11">((B38)+(B39))+(B40)</f>
        <v>0</v>
      </c>
      <c r="C41" s="7">
        <f t="shared" si="11"/>
        <v>0</v>
      </c>
      <c r="D41" s="7">
        <f t="shared" si="11"/>
        <v>0</v>
      </c>
      <c r="E41" s="7">
        <f t="shared" si="11"/>
        <v>0</v>
      </c>
      <c r="F41" s="7">
        <f t="shared" si="11"/>
        <v>0</v>
      </c>
      <c r="G41" s="7">
        <f t="shared" si="11"/>
        <v>95</v>
      </c>
      <c r="H41" s="7">
        <f t="shared" si="11"/>
        <v>0</v>
      </c>
      <c r="I41" s="7">
        <f t="shared" si="11"/>
        <v>0</v>
      </c>
      <c r="J41" s="7">
        <f t="shared" si="4"/>
        <v>95</v>
      </c>
    </row>
    <row r="42" spans="1:10" x14ac:dyDescent="0.3">
      <c r="A42" s="3" t="s">
        <v>106</v>
      </c>
      <c r="B42" s="7">
        <f t="shared" ref="B42:I42" si="12">((B36)+(B37))+(B41)</f>
        <v>0</v>
      </c>
      <c r="C42" s="7">
        <f t="shared" si="12"/>
        <v>0</v>
      </c>
      <c r="D42" s="7">
        <f t="shared" si="12"/>
        <v>0</v>
      </c>
      <c r="E42" s="7">
        <f t="shared" si="12"/>
        <v>0</v>
      </c>
      <c r="F42" s="7">
        <f t="shared" si="12"/>
        <v>0</v>
      </c>
      <c r="G42" s="7">
        <f t="shared" si="12"/>
        <v>95</v>
      </c>
      <c r="H42" s="7">
        <f t="shared" si="12"/>
        <v>0</v>
      </c>
      <c r="I42" s="7">
        <f t="shared" si="12"/>
        <v>62.56</v>
      </c>
      <c r="J42" s="7">
        <f t="shared" si="4"/>
        <v>157.56</v>
      </c>
    </row>
    <row r="43" spans="1:10" x14ac:dyDescent="0.3">
      <c r="A43" s="3" t="s">
        <v>107</v>
      </c>
      <c r="B43" s="4"/>
      <c r="C43" s="4"/>
      <c r="D43" s="4"/>
      <c r="E43" s="4"/>
      <c r="F43" s="4"/>
      <c r="G43" s="4"/>
      <c r="H43" s="4"/>
      <c r="I43" s="4"/>
      <c r="J43" s="5">
        <f t="shared" si="4"/>
        <v>0</v>
      </c>
    </row>
    <row r="44" spans="1:10" x14ac:dyDescent="0.3">
      <c r="A44" s="3" t="s">
        <v>108</v>
      </c>
      <c r="B44" s="4"/>
      <c r="C44" s="4"/>
      <c r="D44" s="5">
        <f>149</f>
        <v>149</v>
      </c>
      <c r="E44" s="4"/>
      <c r="F44" s="4"/>
      <c r="G44" s="4"/>
      <c r="H44" s="4"/>
      <c r="I44" s="4"/>
      <c r="J44" s="5">
        <f t="shared" si="4"/>
        <v>149</v>
      </c>
    </row>
    <row r="45" spans="1:10" x14ac:dyDescent="0.3">
      <c r="A45" s="3" t="s">
        <v>109</v>
      </c>
      <c r="B45" s="7">
        <f t="shared" ref="B45:I45" si="13">(B43)+(B44)</f>
        <v>0</v>
      </c>
      <c r="C45" s="7">
        <f t="shared" si="13"/>
        <v>0</v>
      </c>
      <c r="D45" s="7">
        <f t="shared" si="13"/>
        <v>149</v>
      </c>
      <c r="E45" s="7">
        <f t="shared" si="13"/>
        <v>0</v>
      </c>
      <c r="F45" s="7">
        <f t="shared" si="13"/>
        <v>0</v>
      </c>
      <c r="G45" s="7">
        <f t="shared" si="13"/>
        <v>0</v>
      </c>
      <c r="H45" s="7">
        <f t="shared" si="13"/>
        <v>0</v>
      </c>
      <c r="I45" s="7">
        <f t="shared" si="13"/>
        <v>0</v>
      </c>
      <c r="J45" s="7">
        <f t="shared" si="4"/>
        <v>149</v>
      </c>
    </row>
    <row r="46" spans="1:10" x14ac:dyDescent="0.3">
      <c r="A46" s="3" t="s">
        <v>110</v>
      </c>
      <c r="B46" s="7">
        <f t="shared" ref="B46:I46" si="14">(((B31)+(B35))+(B42))+(B45)</f>
        <v>627.39</v>
      </c>
      <c r="C46" s="7">
        <f t="shared" si="14"/>
        <v>125.98</v>
      </c>
      <c r="D46" s="7">
        <f t="shared" si="14"/>
        <v>534.98</v>
      </c>
      <c r="E46" s="7">
        <f t="shared" si="14"/>
        <v>0</v>
      </c>
      <c r="F46" s="7">
        <f t="shared" si="14"/>
        <v>11362.07</v>
      </c>
      <c r="G46" s="7">
        <f t="shared" si="14"/>
        <v>220.98000000000002</v>
      </c>
      <c r="H46" s="7">
        <f t="shared" si="14"/>
        <v>35948.160000000003</v>
      </c>
      <c r="I46" s="7">
        <f t="shared" si="14"/>
        <v>183.17000000000002</v>
      </c>
      <c r="J46" s="7">
        <f t="shared" si="4"/>
        <v>49002.73</v>
      </c>
    </row>
    <row r="47" spans="1:10" x14ac:dyDescent="0.3">
      <c r="A47" s="3" t="s">
        <v>111</v>
      </c>
      <c r="B47" s="7">
        <f t="shared" ref="B47:I47" si="15">(B13)-(B46)</f>
        <v>-84.819999999999936</v>
      </c>
      <c r="C47" s="7">
        <f t="shared" si="15"/>
        <v>416.59000000000003</v>
      </c>
      <c r="D47" s="7">
        <f t="shared" si="15"/>
        <v>7.5900000000000318</v>
      </c>
      <c r="E47" s="7">
        <f t="shared" si="15"/>
        <v>842.96</v>
      </c>
      <c r="F47" s="7">
        <f t="shared" si="15"/>
        <v>32</v>
      </c>
      <c r="G47" s="7">
        <f t="shared" si="15"/>
        <v>321.59000000000003</v>
      </c>
      <c r="H47" s="7">
        <f t="shared" si="15"/>
        <v>4744.9399999999951</v>
      </c>
      <c r="I47" s="7">
        <f t="shared" si="15"/>
        <v>435.83</v>
      </c>
      <c r="J47" s="7">
        <f t="shared" si="4"/>
        <v>6716.6799999999948</v>
      </c>
    </row>
    <row r="48" spans="1:10" x14ac:dyDescent="0.3">
      <c r="A48" s="3" t="s">
        <v>112</v>
      </c>
      <c r="B48" s="7">
        <f t="shared" ref="B48:I48" si="16">(B47)+(0)</f>
        <v>-84.819999999999936</v>
      </c>
      <c r="C48" s="7">
        <f t="shared" si="16"/>
        <v>416.59000000000003</v>
      </c>
      <c r="D48" s="7">
        <f t="shared" si="16"/>
        <v>7.5900000000000318</v>
      </c>
      <c r="E48" s="7">
        <f t="shared" si="16"/>
        <v>842.96</v>
      </c>
      <c r="F48" s="7">
        <f t="shared" si="16"/>
        <v>32</v>
      </c>
      <c r="G48" s="7">
        <f t="shared" si="16"/>
        <v>321.59000000000003</v>
      </c>
      <c r="H48" s="7">
        <f t="shared" si="16"/>
        <v>4744.9399999999951</v>
      </c>
      <c r="I48" s="7">
        <f t="shared" si="16"/>
        <v>435.83</v>
      </c>
      <c r="J48" s="7">
        <f t="shared" si="4"/>
        <v>6716.6799999999948</v>
      </c>
    </row>
    <row r="49" spans="1:10" x14ac:dyDescent="0.3">
      <c r="A49" s="3"/>
      <c r="B49" s="4"/>
      <c r="C49" s="4"/>
      <c r="D49" s="4"/>
      <c r="E49" s="4"/>
      <c r="F49" s="4"/>
      <c r="G49" s="4"/>
      <c r="H49" s="4"/>
      <c r="I49" s="4"/>
      <c r="J49" s="4"/>
    </row>
    <row r="52" spans="1:10" x14ac:dyDescent="0.3">
      <c r="A52" s="13" t="s">
        <v>116</v>
      </c>
      <c r="B52" s="14"/>
      <c r="C52" s="14"/>
      <c r="D52" s="14"/>
      <c r="E52" s="14"/>
      <c r="F52" s="14"/>
      <c r="G52" s="14"/>
      <c r="H52" s="14"/>
      <c r="I52" s="14"/>
      <c r="J52" s="14"/>
    </row>
  </sheetData>
  <mergeCells count="4">
    <mergeCell ref="A1:J1"/>
    <mergeCell ref="A2:J2"/>
    <mergeCell ref="A3:J3"/>
    <mergeCell ref="A52:J5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EC5684-83AE-4013-89EC-A36110203EAE}">
  <dimension ref="A1:B21"/>
  <sheetViews>
    <sheetView workbookViewId="0">
      <selection activeCell="E9" sqref="E9"/>
    </sheetView>
  </sheetViews>
  <sheetFormatPr defaultRowHeight="14.4" x14ac:dyDescent="0.3"/>
  <cols>
    <col min="1" max="1" width="70.44140625" customWidth="1"/>
    <col min="2" max="2" width="20.6640625" customWidth="1"/>
  </cols>
  <sheetData>
    <row r="1" spans="1:2" ht="17.399999999999999" x14ac:dyDescent="0.3">
      <c r="A1" s="15" t="s">
        <v>38</v>
      </c>
      <c r="B1" s="14"/>
    </row>
    <row r="2" spans="1:2" ht="17.399999999999999" x14ac:dyDescent="0.3">
      <c r="A2" s="15" t="s">
        <v>117</v>
      </c>
      <c r="B2" s="14"/>
    </row>
    <row r="3" spans="1:2" x14ac:dyDescent="0.3">
      <c r="A3" s="16" t="s">
        <v>42</v>
      </c>
      <c r="B3" s="14"/>
    </row>
    <row r="5" spans="1:2" x14ac:dyDescent="0.3">
      <c r="A5" s="1"/>
      <c r="B5" s="2" t="s">
        <v>0</v>
      </c>
    </row>
    <row r="6" spans="1:2" x14ac:dyDescent="0.3">
      <c r="A6" s="3" t="s">
        <v>118</v>
      </c>
      <c r="B6" s="4"/>
    </row>
    <row r="7" spans="1:2" x14ac:dyDescent="0.3">
      <c r="A7" s="3" t="s">
        <v>119</v>
      </c>
      <c r="B7" s="5">
        <f>6716.68</f>
        <v>6716.68</v>
      </c>
    </row>
    <row r="8" spans="1:2" x14ac:dyDescent="0.3">
      <c r="A8" s="3" t="s">
        <v>120</v>
      </c>
      <c r="B8" s="4"/>
    </row>
    <row r="9" spans="1:2" x14ac:dyDescent="0.3">
      <c r="A9" s="3" t="s">
        <v>121</v>
      </c>
      <c r="B9" s="5">
        <f>-27.94</f>
        <v>-27.94</v>
      </c>
    </row>
    <row r="10" spans="1:2" x14ac:dyDescent="0.3">
      <c r="A10" s="3" t="s">
        <v>122</v>
      </c>
      <c r="B10" s="5">
        <f>26517.4</f>
        <v>26517.4</v>
      </c>
    </row>
    <row r="11" spans="1:2" x14ac:dyDescent="0.3">
      <c r="A11" s="3" t="s">
        <v>123</v>
      </c>
      <c r="B11" s="5">
        <f>302.74</f>
        <v>302.74</v>
      </c>
    </row>
    <row r="12" spans="1:2" x14ac:dyDescent="0.3">
      <c r="A12" s="3" t="s">
        <v>124</v>
      </c>
      <c r="B12" s="5">
        <f>-54257.45</f>
        <v>-54257.45</v>
      </c>
    </row>
    <row r="13" spans="1:2" x14ac:dyDescent="0.3">
      <c r="A13" s="3" t="s">
        <v>125</v>
      </c>
      <c r="B13" s="7">
        <f>((((B8)+(B9))+(B10))+(B11))+(B12)</f>
        <v>-27465.249999999993</v>
      </c>
    </row>
    <row r="14" spans="1:2" x14ac:dyDescent="0.3">
      <c r="A14" s="3" t="s">
        <v>126</v>
      </c>
      <c r="B14" s="7">
        <f>(B7)+(B13)</f>
        <v>-20748.569999999992</v>
      </c>
    </row>
    <row r="15" spans="1:2" x14ac:dyDescent="0.3">
      <c r="A15" s="3" t="s">
        <v>127</v>
      </c>
      <c r="B15" s="7">
        <f>B14</f>
        <v>-20748.569999999992</v>
      </c>
    </row>
    <row r="16" spans="1:2" x14ac:dyDescent="0.3">
      <c r="A16" s="3" t="s">
        <v>128</v>
      </c>
      <c r="B16" s="5">
        <f>625467.12</f>
        <v>625467.12</v>
      </c>
    </row>
    <row r="17" spans="1:2" x14ac:dyDescent="0.3">
      <c r="A17" s="3" t="s">
        <v>129</v>
      </c>
      <c r="B17" s="7">
        <f>(B15)+(B16)</f>
        <v>604718.55000000005</v>
      </c>
    </row>
    <row r="18" spans="1:2" x14ac:dyDescent="0.3">
      <c r="A18" s="3"/>
      <c r="B18" s="4"/>
    </row>
    <row r="21" spans="1:2" x14ac:dyDescent="0.3">
      <c r="A21" s="13" t="s">
        <v>130</v>
      </c>
      <c r="B21" s="14"/>
    </row>
  </sheetData>
  <mergeCells count="4">
    <mergeCell ref="A1:B1"/>
    <mergeCell ref="A2:B2"/>
    <mergeCell ref="A3:B3"/>
    <mergeCell ref="A21:B2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198E55-3913-4E33-92D5-9FD4CF76C85A}">
  <dimension ref="A1:J41"/>
  <sheetViews>
    <sheetView workbookViewId="0">
      <selection activeCell="F14" sqref="F14"/>
    </sheetView>
  </sheetViews>
  <sheetFormatPr defaultRowHeight="14.4" x14ac:dyDescent="0.3"/>
  <cols>
    <col min="1" max="1" width="7.77734375" customWidth="1"/>
    <col min="2" max="2" width="9.44140625" customWidth="1"/>
    <col min="3" max="3" width="17.21875" customWidth="1"/>
    <col min="4" max="5" width="7.77734375" customWidth="1"/>
    <col min="6" max="6" width="24.109375" customWidth="1"/>
    <col min="7" max="7" width="61" customWidth="1"/>
    <col min="8" max="8" width="22.33203125" customWidth="1"/>
    <col min="9" max="9" width="61" customWidth="1"/>
    <col min="10" max="10" width="7.77734375" customWidth="1"/>
  </cols>
  <sheetData>
    <row r="1" spans="1:10" ht="17.399999999999999" x14ac:dyDescent="0.3">
      <c r="A1" s="15" t="s">
        <v>38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17.399999999999999" x14ac:dyDescent="0.3">
      <c r="A2" s="15" t="s">
        <v>131</v>
      </c>
      <c r="B2" s="14"/>
      <c r="C2" s="14"/>
      <c r="D2" s="14"/>
      <c r="E2" s="14"/>
      <c r="F2" s="14"/>
      <c r="G2" s="14"/>
      <c r="H2" s="14"/>
      <c r="I2" s="14"/>
      <c r="J2" s="14"/>
    </row>
    <row r="3" spans="1:10" x14ac:dyDescent="0.3">
      <c r="A3" s="16" t="s">
        <v>42</v>
      </c>
      <c r="B3" s="14"/>
      <c r="C3" s="14"/>
      <c r="D3" s="14"/>
      <c r="E3" s="14"/>
      <c r="F3" s="14"/>
      <c r="G3" s="14"/>
      <c r="H3" s="14"/>
      <c r="I3" s="14"/>
      <c r="J3" s="14"/>
    </row>
    <row r="5" spans="1:10" x14ac:dyDescent="0.3">
      <c r="B5" s="2" t="s">
        <v>132</v>
      </c>
      <c r="C5" s="2" t="s">
        <v>133</v>
      </c>
      <c r="D5" s="2" t="s">
        <v>134</v>
      </c>
      <c r="E5" s="2" t="s">
        <v>135</v>
      </c>
      <c r="F5" s="2" t="s">
        <v>136</v>
      </c>
      <c r="G5" s="2" t="s">
        <v>137</v>
      </c>
      <c r="H5" s="2" t="s">
        <v>138</v>
      </c>
      <c r="I5" s="2" t="s">
        <v>139</v>
      </c>
      <c r="J5" s="2" t="s">
        <v>140</v>
      </c>
    </row>
    <row r="6" spans="1:10" x14ac:dyDescent="0.3">
      <c r="B6" s="10" t="s">
        <v>141</v>
      </c>
      <c r="C6" s="10" t="s">
        <v>142</v>
      </c>
      <c r="D6" s="10">
        <v>1037</v>
      </c>
      <c r="E6" s="10" t="s">
        <v>143</v>
      </c>
      <c r="F6" s="10" t="s">
        <v>144</v>
      </c>
      <c r="G6" s="10"/>
      <c r="H6" s="10" t="s">
        <v>145</v>
      </c>
      <c r="I6" s="10" t="s">
        <v>146</v>
      </c>
      <c r="J6" s="5">
        <v>26500</v>
      </c>
    </row>
    <row r="7" spans="1:10" x14ac:dyDescent="0.3">
      <c r="B7" s="10" t="s">
        <v>141</v>
      </c>
      <c r="C7" s="10" t="s">
        <v>142</v>
      </c>
      <c r="D7" s="10">
        <v>47893</v>
      </c>
      <c r="E7" s="10" t="s">
        <v>143</v>
      </c>
      <c r="F7" s="10" t="s">
        <v>147</v>
      </c>
      <c r="G7" s="10"/>
      <c r="H7" s="10" t="s">
        <v>145</v>
      </c>
      <c r="I7" s="10" t="s">
        <v>148</v>
      </c>
      <c r="J7" s="5">
        <v>8716.57</v>
      </c>
    </row>
    <row r="8" spans="1:10" x14ac:dyDescent="0.3">
      <c r="B8" s="10" t="s">
        <v>141</v>
      </c>
      <c r="C8" s="10" t="s">
        <v>149</v>
      </c>
      <c r="D8" s="10" t="s">
        <v>150</v>
      </c>
      <c r="E8" s="10" t="s">
        <v>143</v>
      </c>
      <c r="F8" s="10"/>
      <c r="G8" s="10"/>
      <c r="H8" s="10"/>
      <c r="I8" s="11" t="s">
        <v>151</v>
      </c>
      <c r="J8" s="12"/>
    </row>
    <row r="9" spans="1:10" x14ac:dyDescent="0.3">
      <c r="B9" s="10" t="s">
        <v>141</v>
      </c>
      <c r="C9" s="10" t="s">
        <v>152</v>
      </c>
      <c r="D9" s="10"/>
      <c r="E9" s="10" t="s">
        <v>143</v>
      </c>
      <c r="F9" s="10" t="s">
        <v>147</v>
      </c>
      <c r="G9" s="10" t="s">
        <v>153</v>
      </c>
      <c r="H9" s="10" t="s">
        <v>154</v>
      </c>
      <c r="I9" s="10" t="s">
        <v>145</v>
      </c>
      <c r="J9" s="5">
        <v>-8699.17</v>
      </c>
    </row>
    <row r="10" spans="1:10" x14ac:dyDescent="0.3">
      <c r="B10" s="10" t="s">
        <v>155</v>
      </c>
      <c r="C10" s="10" t="s">
        <v>152</v>
      </c>
      <c r="D10" s="10"/>
      <c r="E10" s="10" t="s">
        <v>143</v>
      </c>
      <c r="F10" s="10" t="s">
        <v>156</v>
      </c>
      <c r="G10" s="10" t="s">
        <v>157</v>
      </c>
      <c r="H10" s="10" t="s">
        <v>154</v>
      </c>
      <c r="I10" s="11" t="s">
        <v>151</v>
      </c>
      <c r="J10" s="5">
        <v>-55</v>
      </c>
    </row>
    <row r="11" spans="1:10" x14ac:dyDescent="0.3">
      <c r="B11" s="10" t="s">
        <v>155</v>
      </c>
      <c r="C11" s="10" t="s">
        <v>152</v>
      </c>
      <c r="D11" s="10"/>
      <c r="E11" s="10" t="s">
        <v>143</v>
      </c>
      <c r="F11" s="10" t="s">
        <v>158</v>
      </c>
      <c r="G11" s="10" t="s">
        <v>159</v>
      </c>
      <c r="H11" s="10" t="s">
        <v>160</v>
      </c>
      <c r="I11" s="10" t="s">
        <v>161</v>
      </c>
      <c r="J11" s="5">
        <v>130</v>
      </c>
    </row>
    <row r="12" spans="1:10" x14ac:dyDescent="0.3">
      <c r="B12" s="10" t="s">
        <v>155</v>
      </c>
      <c r="C12" s="10" t="s">
        <v>152</v>
      </c>
      <c r="D12" s="10"/>
      <c r="E12" s="10" t="s">
        <v>143</v>
      </c>
      <c r="F12" s="10" t="s">
        <v>162</v>
      </c>
      <c r="G12" s="10" t="s">
        <v>163</v>
      </c>
      <c r="H12" s="10" t="s">
        <v>160</v>
      </c>
      <c r="I12" s="10" t="s">
        <v>164</v>
      </c>
      <c r="J12" s="5">
        <v>55.59</v>
      </c>
    </row>
    <row r="13" spans="1:10" x14ac:dyDescent="0.3">
      <c r="B13" s="10" t="s">
        <v>155</v>
      </c>
      <c r="C13" s="10" t="s">
        <v>152</v>
      </c>
      <c r="D13" s="10"/>
      <c r="E13" s="10" t="s">
        <v>143</v>
      </c>
      <c r="F13" s="10"/>
      <c r="G13" s="10" t="s">
        <v>165</v>
      </c>
      <c r="H13" s="10" t="s">
        <v>160</v>
      </c>
      <c r="I13" s="10" t="s">
        <v>166</v>
      </c>
      <c r="J13" s="5">
        <v>21.78</v>
      </c>
    </row>
    <row r="14" spans="1:10" x14ac:dyDescent="0.3">
      <c r="B14" s="10" t="s">
        <v>167</v>
      </c>
      <c r="C14" s="10" t="s">
        <v>152</v>
      </c>
      <c r="D14" s="10"/>
      <c r="E14" s="10" t="s">
        <v>143</v>
      </c>
      <c r="F14" s="10" t="s">
        <v>168</v>
      </c>
      <c r="G14" s="10" t="s">
        <v>169</v>
      </c>
      <c r="H14" s="10" t="s">
        <v>154</v>
      </c>
      <c r="I14" s="10" t="s">
        <v>161</v>
      </c>
      <c r="J14" s="5">
        <v>-115</v>
      </c>
    </row>
    <row r="15" spans="1:10" x14ac:dyDescent="0.3">
      <c r="B15" s="10" t="s">
        <v>167</v>
      </c>
      <c r="C15" s="10" t="s">
        <v>152</v>
      </c>
      <c r="D15" s="10"/>
      <c r="E15" s="10" t="s">
        <v>143</v>
      </c>
      <c r="F15" s="10" t="s">
        <v>170</v>
      </c>
      <c r="G15" s="10" t="s">
        <v>171</v>
      </c>
      <c r="H15" s="10" t="s">
        <v>154</v>
      </c>
      <c r="I15" s="10" t="s">
        <v>161</v>
      </c>
      <c r="J15" s="5">
        <v>-16.8</v>
      </c>
    </row>
    <row r="16" spans="1:10" x14ac:dyDescent="0.3">
      <c r="B16" s="10" t="s">
        <v>172</v>
      </c>
      <c r="C16" s="10" t="s">
        <v>152</v>
      </c>
      <c r="D16" s="10"/>
      <c r="E16" s="10" t="s">
        <v>143</v>
      </c>
      <c r="F16" s="10" t="s">
        <v>168</v>
      </c>
      <c r="G16" s="10" t="s">
        <v>173</v>
      </c>
      <c r="H16" s="10" t="s">
        <v>154</v>
      </c>
      <c r="I16" s="10" t="s">
        <v>161</v>
      </c>
      <c r="J16" s="5">
        <v>-18.61</v>
      </c>
    </row>
    <row r="17" spans="2:10" x14ac:dyDescent="0.3">
      <c r="B17" s="10" t="s">
        <v>174</v>
      </c>
      <c r="C17" s="10" t="s">
        <v>175</v>
      </c>
      <c r="D17" s="10"/>
      <c r="E17" s="10" t="s">
        <v>143</v>
      </c>
      <c r="F17" s="10"/>
      <c r="G17" s="10" t="s">
        <v>176</v>
      </c>
      <c r="H17" s="10" t="s">
        <v>154</v>
      </c>
      <c r="I17" s="10" t="s">
        <v>160</v>
      </c>
      <c r="J17" s="5">
        <v>-207.37</v>
      </c>
    </row>
    <row r="18" spans="2:10" x14ac:dyDescent="0.3">
      <c r="B18" s="10" t="s">
        <v>177</v>
      </c>
      <c r="C18" s="10" t="s">
        <v>152</v>
      </c>
      <c r="D18" s="10"/>
      <c r="E18" s="10" t="s">
        <v>143</v>
      </c>
      <c r="F18" s="10" t="s">
        <v>162</v>
      </c>
      <c r="G18" s="10" t="s">
        <v>178</v>
      </c>
      <c r="H18" s="10" t="s">
        <v>160</v>
      </c>
      <c r="I18" s="10" t="s">
        <v>164</v>
      </c>
      <c r="J18" s="5">
        <v>6.97</v>
      </c>
    </row>
    <row r="19" spans="2:10" x14ac:dyDescent="0.3">
      <c r="B19" s="10" t="s">
        <v>177</v>
      </c>
      <c r="C19" s="10" t="s">
        <v>179</v>
      </c>
      <c r="D19" s="10"/>
      <c r="E19" s="10" t="s">
        <v>143</v>
      </c>
      <c r="F19" s="10"/>
      <c r="G19" s="10" t="s">
        <v>180</v>
      </c>
      <c r="H19" s="10" t="s">
        <v>154</v>
      </c>
      <c r="I19" s="10" t="s">
        <v>181</v>
      </c>
      <c r="J19" s="5">
        <v>619</v>
      </c>
    </row>
    <row r="20" spans="2:10" x14ac:dyDescent="0.3">
      <c r="B20" s="10" t="s">
        <v>182</v>
      </c>
      <c r="C20" s="10" t="s">
        <v>152</v>
      </c>
      <c r="D20" s="10"/>
      <c r="E20" s="10" t="s">
        <v>143</v>
      </c>
      <c r="F20" s="10" t="s">
        <v>156</v>
      </c>
      <c r="G20" s="10" t="s">
        <v>183</v>
      </c>
      <c r="H20" s="10" t="s">
        <v>154</v>
      </c>
      <c r="I20" s="11" t="s">
        <v>151</v>
      </c>
      <c r="J20" s="5">
        <v>-4008.99</v>
      </c>
    </row>
    <row r="21" spans="2:10" x14ac:dyDescent="0.3">
      <c r="B21" s="10" t="s">
        <v>182</v>
      </c>
      <c r="C21" s="10" t="s">
        <v>152</v>
      </c>
      <c r="D21" s="10"/>
      <c r="E21" s="10" t="s">
        <v>143</v>
      </c>
      <c r="F21" s="10" t="s">
        <v>156</v>
      </c>
      <c r="G21" s="10" t="s">
        <v>184</v>
      </c>
      <c r="H21" s="10" t="s">
        <v>154</v>
      </c>
      <c r="I21" s="11" t="s">
        <v>151</v>
      </c>
      <c r="J21" s="5">
        <v>-1335.05</v>
      </c>
    </row>
    <row r="22" spans="2:10" x14ac:dyDescent="0.3">
      <c r="B22" s="10" t="s">
        <v>182</v>
      </c>
      <c r="C22" s="10" t="s">
        <v>152</v>
      </c>
      <c r="D22" s="10"/>
      <c r="E22" s="10" t="s">
        <v>143</v>
      </c>
      <c r="F22" s="10" t="s">
        <v>156</v>
      </c>
      <c r="G22" s="10" t="s">
        <v>185</v>
      </c>
      <c r="H22" s="10" t="s">
        <v>154</v>
      </c>
      <c r="I22" s="11" t="s">
        <v>151</v>
      </c>
      <c r="J22" s="5">
        <v>-100</v>
      </c>
    </row>
    <row r="23" spans="2:10" x14ac:dyDescent="0.3">
      <c r="B23" s="10" t="s">
        <v>186</v>
      </c>
      <c r="C23" s="10" t="s">
        <v>152</v>
      </c>
      <c r="D23" s="10"/>
      <c r="E23" s="10" t="s">
        <v>143</v>
      </c>
      <c r="F23" s="10" t="s">
        <v>187</v>
      </c>
      <c r="G23" s="10" t="s">
        <v>188</v>
      </c>
      <c r="H23" s="10" t="s">
        <v>154</v>
      </c>
      <c r="I23" s="10" t="s">
        <v>189</v>
      </c>
      <c r="J23" s="5">
        <v>-260</v>
      </c>
    </row>
    <row r="24" spans="2:10" x14ac:dyDescent="0.3">
      <c r="B24" s="10" t="s">
        <v>186</v>
      </c>
      <c r="C24" s="10" t="s">
        <v>190</v>
      </c>
      <c r="D24" s="10">
        <v>995529</v>
      </c>
      <c r="E24" s="10" t="s">
        <v>143</v>
      </c>
      <c r="F24" s="10" t="s">
        <v>191</v>
      </c>
      <c r="G24" s="10" t="s">
        <v>192</v>
      </c>
      <c r="H24" s="10" t="s">
        <v>154</v>
      </c>
      <c r="I24" s="10" t="s">
        <v>193</v>
      </c>
      <c r="J24" s="5">
        <v>-75</v>
      </c>
    </row>
    <row r="25" spans="2:10" x14ac:dyDescent="0.3">
      <c r="B25" s="10" t="s">
        <v>194</v>
      </c>
      <c r="C25" s="10" t="s">
        <v>152</v>
      </c>
      <c r="D25" s="10"/>
      <c r="E25" s="10" t="s">
        <v>143</v>
      </c>
      <c r="F25" s="10" t="s">
        <v>195</v>
      </c>
      <c r="G25" s="10" t="s">
        <v>196</v>
      </c>
      <c r="H25" s="10" t="s">
        <v>154</v>
      </c>
      <c r="I25" s="10" t="s">
        <v>197</v>
      </c>
      <c r="J25" s="5">
        <v>-221</v>
      </c>
    </row>
    <row r="26" spans="2:10" x14ac:dyDescent="0.3">
      <c r="B26" s="10" t="s">
        <v>198</v>
      </c>
      <c r="C26" s="10" t="s">
        <v>152</v>
      </c>
      <c r="D26" s="10"/>
      <c r="E26" s="10" t="s">
        <v>143</v>
      </c>
      <c r="F26" s="10" t="s">
        <v>199</v>
      </c>
      <c r="G26" s="10" t="s">
        <v>200</v>
      </c>
      <c r="H26" s="10" t="s">
        <v>160</v>
      </c>
      <c r="I26" s="10" t="s">
        <v>201</v>
      </c>
      <c r="J26" s="5">
        <v>33.35</v>
      </c>
    </row>
    <row r="27" spans="2:10" x14ac:dyDescent="0.3">
      <c r="B27" s="10" t="s">
        <v>202</v>
      </c>
      <c r="C27" s="10" t="s">
        <v>152</v>
      </c>
      <c r="D27" s="10"/>
      <c r="E27" s="10" t="s">
        <v>143</v>
      </c>
      <c r="F27" s="10"/>
      <c r="G27" s="10" t="s">
        <v>203</v>
      </c>
      <c r="H27" s="10" t="s">
        <v>160</v>
      </c>
      <c r="I27" s="10" t="s">
        <v>204</v>
      </c>
      <c r="J27" s="5">
        <v>20</v>
      </c>
    </row>
    <row r="28" spans="2:10" x14ac:dyDescent="0.3">
      <c r="B28" s="10" t="s">
        <v>202</v>
      </c>
      <c r="C28" s="10" t="s">
        <v>152</v>
      </c>
      <c r="D28" s="10"/>
      <c r="E28" s="10" t="s">
        <v>143</v>
      </c>
      <c r="F28" s="10" t="s">
        <v>205</v>
      </c>
      <c r="G28" s="10" t="s">
        <v>206</v>
      </c>
      <c r="H28" s="10" t="s">
        <v>154</v>
      </c>
      <c r="I28" s="11" t="s">
        <v>151</v>
      </c>
      <c r="J28" s="5">
        <v>-2139.48</v>
      </c>
    </row>
    <row r="29" spans="2:10" x14ac:dyDescent="0.3">
      <c r="B29" s="10" t="s">
        <v>207</v>
      </c>
      <c r="C29" s="10" t="s">
        <v>152</v>
      </c>
      <c r="D29" s="10"/>
      <c r="E29" s="10" t="s">
        <v>143</v>
      </c>
      <c r="F29" s="10" t="s">
        <v>208</v>
      </c>
      <c r="G29" s="10" t="s">
        <v>209</v>
      </c>
      <c r="H29" s="10" t="s">
        <v>160</v>
      </c>
      <c r="I29" s="10" t="s">
        <v>210</v>
      </c>
      <c r="J29" s="5">
        <v>149</v>
      </c>
    </row>
    <row r="30" spans="2:10" x14ac:dyDescent="0.3">
      <c r="B30" s="10" t="s">
        <v>207</v>
      </c>
      <c r="C30" s="10" t="s">
        <v>152</v>
      </c>
      <c r="D30" s="10"/>
      <c r="E30" s="10" t="s">
        <v>143</v>
      </c>
      <c r="F30" s="10" t="s">
        <v>158</v>
      </c>
      <c r="G30" s="10" t="s">
        <v>211</v>
      </c>
      <c r="H30" s="10" t="s">
        <v>160</v>
      </c>
      <c r="I30" s="10" t="s">
        <v>166</v>
      </c>
      <c r="J30" s="5">
        <v>65.48</v>
      </c>
    </row>
    <row r="31" spans="2:10" x14ac:dyDescent="0.3">
      <c r="B31" s="10" t="s">
        <v>212</v>
      </c>
      <c r="C31" s="10" t="s">
        <v>152</v>
      </c>
      <c r="D31" s="10"/>
      <c r="E31" s="10" t="s">
        <v>143</v>
      </c>
      <c r="F31" s="10" t="s">
        <v>213</v>
      </c>
      <c r="G31" s="10" t="s">
        <v>214</v>
      </c>
      <c r="H31" s="10" t="s">
        <v>160</v>
      </c>
      <c r="I31" s="10" t="s">
        <v>160</v>
      </c>
      <c r="J31" s="5">
        <v>119.88</v>
      </c>
    </row>
    <row r="32" spans="2:10" x14ac:dyDescent="0.3">
      <c r="B32" s="10" t="s">
        <v>215</v>
      </c>
      <c r="C32" s="10" t="s">
        <v>216</v>
      </c>
      <c r="D32" s="10"/>
      <c r="E32" s="10" t="s">
        <v>143</v>
      </c>
      <c r="F32" s="10"/>
      <c r="G32" s="10" t="s">
        <v>217</v>
      </c>
      <c r="H32" s="10" t="s">
        <v>218</v>
      </c>
      <c r="I32" s="10" t="s">
        <v>154</v>
      </c>
      <c r="J32" s="5">
        <v>-50000</v>
      </c>
    </row>
    <row r="33" spans="1:10" x14ac:dyDescent="0.3">
      <c r="B33" s="10" t="s">
        <v>219</v>
      </c>
      <c r="C33" s="10" t="s">
        <v>152</v>
      </c>
      <c r="D33" s="10"/>
      <c r="E33" s="10" t="s">
        <v>143</v>
      </c>
      <c r="F33" s="10" t="s">
        <v>220</v>
      </c>
      <c r="G33" s="10" t="s">
        <v>221</v>
      </c>
      <c r="H33" s="10" t="s">
        <v>160</v>
      </c>
      <c r="I33" s="10" t="s">
        <v>222</v>
      </c>
      <c r="J33" s="5">
        <v>27.94</v>
      </c>
    </row>
    <row r="34" spans="1:10" x14ac:dyDescent="0.3">
      <c r="B34" s="10" t="s">
        <v>219</v>
      </c>
      <c r="C34" s="10" t="s">
        <v>152</v>
      </c>
      <c r="D34" s="10"/>
      <c r="E34" s="10" t="s">
        <v>143</v>
      </c>
      <c r="F34" s="10" t="s">
        <v>156</v>
      </c>
      <c r="G34" s="10" t="s">
        <v>223</v>
      </c>
      <c r="H34" s="10" t="s">
        <v>154</v>
      </c>
      <c r="I34" s="11" t="s">
        <v>151</v>
      </c>
      <c r="J34" s="5">
        <v>-3698.5</v>
      </c>
    </row>
    <row r="35" spans="1:10" x14ac:dyDescent="0.3">
      <c r="B35" s="10" t="s">
        <v>219</v>
      </c>
      <c r="C35" s="10" t="s">
        <v>152</v>
      </c>
      <c r="D35" s="10"/>
      <c r="E35" s="10" t="s">
        <v>143</v>
      </c>
      <c r="F35" s="10" t="s">
        <v>156</v>
      </c>
      <c r="G35" s="10" t="s">
        <v>224</v>
      </c>
      <c r="H35" s="10" t="s">
        <v>154</v>
      </c>
      <c r="I35" s="11" t="s">
        <v>151</v>
      </c>
      <c r="J35" s="5">
        <v>-1160.56</v>
      </c>
    </row>
    <row r="36" spans="1:10" x14ac:dyDescent="0.3">
      <c r="B36" s="10" t="s">
        <v>219</v>
      </c>
      <c r="C36" s="10" t="s">
        <v>152</v>
      </c>
      <c r="D36" s="10"/>
      <c r="E36" s="10" t="s">
        <v>143</v>
      </c>
      <c r="F36" s="10" t="s">
        <v>156</v>
      </c>
      <c r="G36" s="10" t="s">
        <v>225</v>
      </c>
      <c r="H36" s="10" t="s">
        <v>154</v>
      </c>
      <c r="I36" s="11" t="s">
        <v>151</v>
      </c>
      <c r="J36" s="5">
        <v>-100</v>
      </c>
    </row>
    <row r="37" spans="1:10" x14ac:dyDescent="0.3">
      <c r="B37" s="10" t="s">
        <v>226</v>
      </c>
      <c r="C37" s="10" t="s">
        <v>179</v>
      </c>
      <c r="D37" s="10"/>
      <c r="E37" s="10" t="s">
        <v>143</v>
      </c>
      <c r="F37" s="10"/>
      <c r="G37" s="10" t="s">
        <v>227</v>
      </c>
      <c r="H37" s="10" t="s">
        <v>218</v>
      </c>
      <c r="I37" s="10" t="s">
        <v>228</v>
      </c>
      <c r="J37" s="5">
        <v>839.12</v>
      </c>
    </row>
    <row r="38" spans="1:10" x14ac:dyDescent="0.3">
      <c r="B38" s="10" t="s">
        <v>226</v>
      </c>
      <c r="C38" s="10" t="s">
        <v>179</v>
      </c>
      <c r="D38" s="10"/>
      <c r="E38" s="10" t="s">
        <v>143</v>
      </c>
      <c r="F38" s="10"/>
      <c r="G38" s="10" t="s">
        <v>227</v>
      </c>
      <c r="H38" s="10" t="s">
        <v>154</v>
      </c>
      <c r="I38" s="10" t="s">
        <v>228</v>
      </c>
      <c r="J38" s="5">
        <v>3.84</v>
      </c>
    </row>
    <row r="41" spans="1:10" x14ac:dyDescent="0.3">
      <c r="A41" s="13" t="s">
        <v>229</v>
      </c>
      <c r="B41" s="14"/>
      <c r="C41" s="14"/>
      <c r="D41" s="14"/>
      <c r="E41" s="14"/>
      <c r="F41" s="14"/>
      <c r="G41" s="14"/>
      <c r="H41" s="14"/>
      <c r="I41" s="14"/>
      <c r="J41" s="14"/>
    </row>
  </sheetData>
  <mergeCells count="4">
    <mergeCell ref="A1:J1"/>
    <mergeCell ref="A2:J2"/>
    <mergeCell ref="A3:J3"/>
    <mergeCell ref="A41:J4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Statement of Financial Position</vt:lpstr>
      <vt:lpstr>Budget VS Actual</vt:lpstr>
      <vt:lpstr>Budget vs Actual YTD</vt:lpstr>
      <vt:lpstr>Statement  of Activity</vt:lpstr>
      <vt:lpstr>Statement of Activity by Class</vt:lpstr>
      <vt:lpstr>Statement of Cashflows</vt:lpstr>
      <vt:lpstr>Transactions List By Date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Jhason Wint</cp:lastModifiedBy>
  <dcterms:created xsi:type="dcterms:W3CDTF">2025-11-10T23:22:33Z</dcterms:created>
  <dcterms:modified xsi:type="dcterms:W3CDTF">2025-11-13T20:10:15Z</dcterms:modified>
</cp:coreProperties>
</file>